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mclai\WiLS Dropbox\WiLS-wide\WPLC\Financials\Budgets\WPLC budget\2026\"/>
    </mc:Choice>
  </mc:AlternateContent>
  <xr:revisionPtr revIDLastSave="0" documentId="13_ncr:1_{43A8F8CB-BE4E-418E-B495-8458BD40CDF1}" xr6:coauthVersionLast="47" xr6:coauthVersionMax="47" xr10:uidLastSave="{00000000-0000-0000-0000-000000000000}"/>
  <bookViews>
    <workbookView xWindow="30075" yWindow="0" windowWidth="17490" windowHeight="15585" tabRatio="942" xr2:uid="{00000000-000D-0000-FFFF-FFFF00000000}"/>
  </bookViews>
  <sheets>
    <sheet name="2026 budget" sheetId="1" r:id="rId1"/>
    <sheet name="21-22 comparison and totals" sheetId="7" state="hidden" r:id="rId2"/>
    <sheet name="Partner shares" sheetId="2" r:id="rId3"/>
    <sheet name="Buying pool summary" sheetId="3" r:id="rId4"/>
    <sheet name="Magazine Costs" sheetId="8" r:id="rId5"/>
    <sheet name="25-26 comparisons and totals" sheetId="9" r:id="rId6"/>
    <sheet name="Project Management" sheetId="10" r:id="rId7"/>
  </sheets>
  <definedNames>
    <definedName name="_xlnm.Print_Area" localSheetId="1">'21-22 comparison and totals'!$A$1:$F$23</definedName>
  </definedNames>
  <calcPr calcId="181029"/>
</workbook>
</file>

<file path=xl/calcChain.xml><?xml version="1.0" encoding="utf-8"?>
<calcChain xmlns="http://schemas.openxmlformats.org/spreadsheetml/2006/main">
  <c r="G21" i="8" l="1"/>
  <c r="C17" i="10"/>
  <c r="H21" i="8" l="1"/>
  <c r="B22" i="3"/>
  <c r="C30" i="1" l="1"/>
  <c r="C7" i="1" l="1"/>
  <c r="B1" i="2" s="1"/>
  <c r="D22" i="3" l="1"/>
  <c r="B17" i="8" l="1"/>
  <c r="I16" i="9" l="1"/>
  <c r="H16" i="9"/>
  <c r="G16" i="9"/>
  <c r="L22" i="3"/>
  <c r="D30" i="1" l="1"/>
  <c r="J16" i="9" l="1"/>
  <c r="D15" i="8" l="1"/>
  <c r="B15" i="8"/>
  <c r="C18" i="10" l="1"/>
  <c r="C12" i="10"/>
  <c r="H22" i="3" l="1"/>
  <c r="I16" i="3" s="1"/>
  <c r="J16" i="3" l="1"/>
  <c r="H4" i="3"/>
  <c r="D6" i="8" l="1"/>
  <c r="D7" i="8"/>
  <c r="D8" i="8"/>
  <c r="D9" i="8"/>
  <c r="D10" i="8"/>
  <c r="D11" i="8"/>
  <c r="D12" i="8"/>
  <c r="D13" i="8"/>
  <c r="D14" i="8"/>
  <c r="D16" i="8"/>
  <c r="D17" i="8"/>
  <c r="D18" i="8"/>
  <c r="D19" i="8"/>
  <c r="D20" i="8"/>
  <c r="B6" i="8"/>
  <c r="B7" i="8"/>
  <c r="B8" i="8"/>
  <c r="B9" i="8"/>
  <c r="B10" i="8"/>
  <c r="B11" i="8"/>
  <c r="B12" i="8"/>
  <c r="B13" i="8"/>
  <c r="B14" i="8"/>
  <c r="B16" i="8"/>
  <c r="B18" i="8"/>
  <c r="B19" i="8"/>
  <c r="B20" i="8"/>
  <c r="G7" i="9" l="1"/>
  <c r="G8" i="9"/>
  <c r="G9" i="9"/>
  <c r="G10" i="9"/>
  <c r="G11" i="9"/>
  <c r="G12" i="9"/>
  <c r="G13" i="9"/>
  <c r="G14" i="9"/>
  <c r="G15" i="9"/>
  <c r="G17" i="9"/>
  <c r="G18" i="9"/>
  <c r="G19" i="9"/>
  <c r="G20" i="9"/>
  <c r="G21" i="9"/>
  <c r="G22" i="9" l="1"/>
  <c r="D11" i="1"/>
  <c r="B21" i="9" l="1"/>
  <c r="B13" i="9"/>
  <c r="D21" i="8" l="1"/>
  <c r="B21" i="8"/>
  <c r="C6" i="8" s="1"/>
  <c r="C15" i="8" l="1"/>
  <c r="C21" i="8"/>
  <c r="C20" i="8"/>
  <c r="E7" i="8"/>
  <c r="E15" i="8"/>
  <c r="E18" i="8"/>
  <c r="E6" i="8"/>
  <c r="G6" i="8" s="1"/>
  <c r="C9" i="8"/>
  <c r="E17" i="8"/>
  <c r="E13" i="8"/>
  <c r="C19" i="8"/>
  <c r="C8" i="8"/>
  <c r="E12" i="8"/>
  <c r="C10" i="8"/>
  <c r="C18" i="8"/>
  <c r="E11" i="8"/>
  <c r="C17" i="8"/>
  <c r="E21" i="8"/>
  <c r="E10" i="8"/>
  <c r="C16" i="8"/>
  <c r="E20" i="8"/>
  <c r="E9" i="8"/>
  <c r="C11" i="8"/>
  <c r="E19" i="8"/>
  <c r="C13" i="8"/>
  <c r="E16" i="8"/>
  <c r="I17" i="9" s="1"/>
  <c r="E8" i="8"/>
  <c r="C14" i="8"/>
  <c r="C7" i="8"/>
  <c r="C12" i="8"/>
  <c r="E14" i="8"/>
  <c r="G15" i="8" l="1"/>
  <c r="E16" i="9" s="1"/>
  <c r="G7" i="8"/>
  <c r="E8" i="9" s="1"/>
  <c r="F15" i="8"/>
  <c r="G12" i="8"/>
  <c r="E13" i="9" s="1"/>
  <c r="G17" i="8"/>
  <c r="E18" i="9" s="1"/>
  <c r="C11" i="1"/>
  <c r="G13" i="8"/>
  <c r="E14" i="9" s="1"/>
  <c r="E7" i="9"/>
  <c r="G20" i="8"/>
  <c r="E21" i="9" s="1"/>
  <c r="G18" i="8"/>
  <c r="E19" i="9" s="1"/>
  <c r="G10" i="8"/>
  <c r="E11" i="9" s="1"/>
  <c r="G11" i="8"/>
  <c r="E12" i="9" s="1"/>
  <c r="G9" i="8"/>
  <c r="E10" i="9" s="1"/>
  <c r="G14" i="8"/>
  <c r="E15" i="9" s="1"/>
  <c r="G16" i="8"/>
  <c r="E17" i="9" s="1"/>
  <c r="G8" i="8"/>
  <c r="E9" i="9" s="1"/>
  <c r="G19" i="8"/>
  <c r="E20" i="9" s="1"/>
  <c r="I13" i="9"/>
  <c r="I21" i="9"/>
  <c r="F18" i="8"/>
  <c r="I10" i="9"/>
  <c r="F8" i="8"/>
  <c r="F16" i="8"/>
  <c r="I9" i="9"/>
  <c r="I12" i="9"/>
  <c r="F20" i="8"/>
  <c r="F10" i="8"/>
  <c r="F9" i="8"/>
  <c r="F11" i="8"/>
  <c r="I19" i="9"/>
  <c r="I20" i="9"/>
  <c r="I11" i="9"/>
  <c r="F19" i="8"/>
  <c r="I18" i="9"/>
  <c r="F17" i="8"/>
  <c r="F7" i="8"/>
  <c r="I8" i="9"/>
  <c r="F14" i="8"/>
  <c r="I15" i="9"/>
  <c r="F6" i="8"/>
  <c r="I7" i="9"/>
  <c r="F12" i="8"/>
  <c r="I14" i="9"/>
  <c r="F13" i="8"/>
  <c r="B14" i="2" l="1"/>
  <c r="D14" i="2" s="1"/>
  <c r="B15" i="2"/>
  <c r="B16" i="2"/>
  <c r="D16" i="2" s="1"/>
  <c r="E22" i="9"/>
  <c r="F21" i="8"/>
  <c r="I22" i="9"/>
  <c r="F8" i="7"/>
  <c r="F9" i="7"/>
  <c r="F10" i="7"/>
  <c r="F11" i="7"/>
  <c r="F12" i="7"/>
  <c r="F13" i="7"/>
  <c r="F14" i="7"/>
  <c r="F15" i="7"/>
  <c r="F16" i="7"/>
  <c r="F17" i="7"/>
  <c r="F18" i="7"/>
  <c r="F19" i="7"/>
  <c r="F20" i="7"/>
  <c r="F21" i="7"/>
  <c r="F22" i="7"/>
  <c r="F7" i="7"/>
  <c r="D16" i="9" l="1"/>
  <c r="D15" i="2"/>
  <c r="F23" i="7" l="1"/>
  <c r="B15" i="7"/>
  <c r="B22" i="7"/>
  <c r="C16" i="3"/>
  <c r="I7" i="3"/>
  <c r="E16" i="3" l="1"/>
  <c r="E17" i="3"/>
  <c r="C10" i="3"/>
  <c r="J7" i="3"/>
  <c r="B9" i="2"/>
  <c r="D9" i="2" s="1"/>
  <c r="B18" i="2"/>
  <c r="D18" i="2" s="1"/>
  <c r="B11" i="2"/>
  <c r="D11" i="2" s="1"/>
  <c r="B13" i="2"/>
  <c r="D13" i="2" s="1"/>
  <c r="B8" i="2"/>
  <c r="D8" i="2" s="1"/>
  <c r="B10" i="2"/>
  <c r="D10" i="2" s="1"/>
  <c r="B19" i="2"/>
  <c r="D19" i="2" s="1"/>
  <c r="B20" i="2"/>
  <c r="D20" i="2" s="1"/>
  <c r="B12" i="2"/>
  <c r="D12" i="2" s="1"/>
  <c r="B17" i="2"/>
  <c r="D17" i="2" s="1"/>
  <c r="B6" i="2"/>
  <c r="D6" i="2" s="1"/>
  <c r="B7" i="2"/>
  <c r="D7" i="2" s="1"/>
  <c r="H7" i="9"/>
  <c r="H8" i="9"/>
  <c r="H9" i="9"/>
  <c r="H17" i="9"/>
  <c r="H19" i="9"/>
  <c r="H14" i="9"/>
  <c r="H18" i="9"/>
  <c r="H20" i="9"/>
  <c r="H10" i="9"/>
  <c r="H11" i="9"/>
  <c r="H12" i="9"/>
  <c r="H21" i="9"/>
  <c r="H15" i="9"/>
  <c r="H13" i="9"/>
  <c r="I12" i="3"/>
  <c r="J12" i="3" s="1"/>
  <c r="I9" i="3"/>
  <c r="I20" i="3"/>
  <c r="I10" i="3"/>
  <c r="I8" i="3"/>
  <c r="I15" i="3"/>
  <c r="E15" i="3"/>
  <c r="C11" i="3"/>
  <c r="C12" i="3"/>
  <c r="C9" i="3"/>
  <c r="C8" i="3"/>
  <c r="C7" i="3"/>
  <c r="C21" i="3"/>
  <c r="C13" i="3"/>
  <c r="C15" i="3"/>
  <c r="C17" i="3"/>
  <c r="C14" i="3"/>
  <c r="C18" i="3"/>
  <c r="C19" i="3"/>
  <c r="C20" i="3"/>
  <c r="E21" i="3"/>
  <c r="E13" i="3"/>
  <c r="E14" i="3"/>
  <c r="I17" i="3"/>
  <c r="J17" i="3" s="1"/>
  <c r="E11" i="3"/>
  <c r="E8" i="3"/>
  <c r="I13" i="3"/>
  <c r="E9" i="3"/>
  <c r="I19" i="3"/>
  <c r="E19" i="3"/>
  <c r="E20" i="3"/>
  <c r="E12" i="3"/>
  <c r="I14" i="3"/>
  <c r="E18" i="3"/>
  <c r="I21" i="3"/>
  <c r="I18" i="3"/>
  <c r="J18" i="3" s="1"/>
  <c r="I11" i="3"/>
  <c r="E7" i="3"/>
  <c r="E10" i="3"/>
  <c r="F16" i="3" l="1"/>
  <c r="G16" i="3"/>
  <c r="F17" i="3"/>
  <c r="B21" i="2"/>
  <c r="E22" i="3"/>
  <c r="C22" i="3"/>
  <c r="J11" i="3"/>
  <c r="J15" i="3"/>
  <c r="J8" i="3"/>
  <c r="J10" i="3"/>
  <c r="J13" i="3"/>
  <c r="J20" i="3"/>
  <c r="J19" i="3"/>
  <c r="J14" i="3"/>
  <c r="J9" i="3"/>
  <c r="J21" i="3"/>
  <c r="D11" i="9"/>
  <c r="G13" i="7"/>
  <c r="H13" i="7" s="1"/>
  <c r="D18" i="9"/>
  <c r="G19" i="7"/>
  <c r="H19" i="7" s="1"/>
  <c r="D9" i="9"/>
  <c r="G10" i="7"/>
  <c r="H10" i="7" s="1"/>
  <c r="D13" i="9"/>
  <c r="G15" i="7"/>
  <c r="H15" i="7" s="1"/>
  <c r="D15" i="9"/>
  <c r="G17" i="7"/>
  <c r="H17" i="7" s="1"/>
  <c r="D7" i="9"/>
  <c r="G8" i="7"/>
  <c r="H8" i="7" s="1"/>
  <c r="G11" i="7"/>
  <c r="H11" i="7" s="1"/>
  <c r="D14" i="9"/>
  <c r="G16" i="7"/>
  <c r="H16" i="7" s="1"/>
  <c r="D8" i="9"/>
  <c r="G9" i="7"/>
  <c r="H9" i="7" s="1"/>
  <c r="D17" i="9"/>
  <c r="G18" i="7"/>
  <c r="H18" i="7" s="1"/>
  <c r="D12" i="9"/>
  <c r="G14" i="7"/>
  <c r="H14" i="7" s="1"/>
  <c r="G7" i="7"/>
  <c r="D19" i="9"/>
  <c r="G20" i="7"/>
  <c r="H20" i="7" s="1"/>
  <c r="D20" i="9"/>
  <c r="G21" i="7"/>
  <c r="H21" i="7" s="1"/>
  <c r="D21" i="9"/>
  <c r="G22" i="7"/>
  <c r="H22" i="7" s="1"/>
  <c r="D10" i="9"/>
  <c r="G12" i="7"/>
  <c r="H12" i="7" s="1"/>
  <c r="H22" i="9"/>
  <c r="D11" i="7"/>
  <c r="D15" i="7"/>
  <c r="D22" i="7"/>
  <c r="D20" i="7"/>
  <c r="D19" i="7"/>
  <c r="D14" i="7"/>
  <c r="D18" i="7"/>
  <c r="D16" i="7"/>
  <c r="D13" i="7"/>
  <c r="D10" i="7"/>
  <c r="D17" i="7"/>
  <c r="D9" i="7"/>
  <c r="D7" i="7"/>
  <c r="C21" i="2"/>
  <c r="D12" i="7"/>
  <c r="D21" i="7"/>
  <c r="D8" i="7"/>
  <c r="G17" i="3"/>
  <c r="G8" i="3"/>
  <c r="F15" i="3"/>
  <c r="F13" i="3"/>
  <c r="F8" i="3"/>
  <c r="F14" i="3"/>
  <c r="G15" i="3"/>
  <c r="G18" i="3"/>
  <c r="G13" i="3"/>
  <c r="I22" i="3"/>
  <c r="F10" i="3"/>
  <c r="G10" i="3"/>
  <c r="F21" i="3"/>
  <c r="G21" i="3"/>
  <c r="G14" i="3"/>
  <c r="F7" i="3"/>
  <c r="G7" i="3"/>
  <c r="G19" i="3"/>
  <c r="F19" i="3"/>
  <c r="G20" i="3"/>
  <c r="F20" i="3"/>
  <c r="F9" i="3"/>
  <c r="G9" i="3"/>
  <c r="F12" i="3"/>
  <c r="G12" i="3"/>
  <c r="G11" i="3"/>
  <c r="F11" i="3"/>
  <c r="F18" i="3"/>
  <c r="K16" i="3" l="1"/>
  <c r="M16" i="3" s="1"/>
  <c r="K11" i="3"/>
  <c r="K14" i="3"/>
  <c r="K8" i="3"/>
  <c r="M8" i="3" s="1"/>
  <c r="K21" i="3"/>
  <c r="M21" i="3" s="1"/>
  <c r="K20" i="3"/>
  <c r="M20" i="3" s="1"/>
  <c r="K13" i="3"/>
  <c r="M13" i="3" s="1"/>
  <c r="K17" i="3"/>
  <c r="M17" i="3" s="1"/>
  <c r="K10" i="3"/>
  <c r="M10" i="3" s="1"/>
  <c r="K18" i="3"/>
  <c r="M18" i="3" s="1"/>
  <c r="K9" i="3"/>
  <c r="M9" i="3" s="1"/>
  <c r="K19" i="3"/>
  <c r="M19" i="3" s="1"/>
  <c r="K15" i="3"/>
  <c r="M15" i="3" s="1"/>
  <c r="K12" i="3"/>
  <c r="M12" i="3" s="1"/>
  <c r="D22" i="9"/>
  <c r="H7" i="7"/>
  <c r="H23" i="7" s="1"/>
  <c r="G23" i="7"/>
  <c r="D23" i="7"/>
  <c r="D21" i="2"/>
  <c r="K7" i="3"/>
  <c r="M7" i="3" s="1"/>
  <c r="G22" i="3"/>
  <c r="J22" i="3"/>
  <c r="F22" i="3"/>
  <c r="C16" i="9" l="1"/>
  <c r="F16" i="9" s="1"/>
  <c r="K16" i="9" s="1"/>
  <c r="C16" i="7"/>
  <c r="E16" i="7" s="1"/>
  <c r="I16" i="7" s="1"/>
  <c r="M14" i="3"/>
  <c r="C13" i="7"/>
  <c r="E13" i="7" s="1"/>
  <c r="I13" i="7" s="1"/>
  <c r="M11" i="3"/>
  <c r="C14" i="7"/>
  <c r="E14" i="7" s="1"/>
  <c r="I14" i="7" s="1"/>
  <c r="C12" i="7"/>
  <c r="E12" i="7" s="1"/>
  <c r="I12" i="7" s="1"/>
  <c r="C17" i="7"/>
  <c r="E17" i="7" s="1"/>
  <c r="I17" i="7" s="1"/>
  <c r="C11" i="7"/>
  <c r="E11" i="7" s="1"/>
  <c r="I11" i="7" s="1"/>
  <c r="C9" i="7"/>
  <c r="E9" i="7" s="1"/>
  <c r="I9" i="7" s="1"/>
  <c r="C20" i="7"/>
  <c r="E20" i="7" s="1"/>
  <c r="I20" i="7" s="1"/>
  <c r="C21" i="7"/>
  <c r="E21" i="7" s="1"/>
  <c r="I21" i="7" s="1"/>
  <c r="C22" i="7"/>
  <c r="E22" i="7" s="1"/>
  <c r="I22" i="7" s="1"/>
  <c r="C19" i="7"/>
  <c r="E19" i="7" s="1"/>
  <c r="I19" i="7" s="1"/>
  <c r="J19" i="9"/>
  <c r="C19" i="9"/>
  <c r="F19" i="9" s="1"/>
  <c r="J17" i="9"/>
  <c r="C17" i="9"/>
  <c r="F17" i="9" s="1"/>
  <c r="C10" i="7"/>
  <c r="E10" i="7" s="1"/>
  <c r="I10" i="7" s="1"/>
  <c r="J20" i="9"/>
  <c r="C20" i="9"/>
  <c r="F20" i="9" s="1"/>
  <c r="J12" i="9"/>
  <c r="C12" i="9"/>
  <c r="F12" i="9" s="1"/>
  <c r="J18" i="9"/>
  <c r="C18" i="9"/>
  <c r="F18" i="9" s="1"/>
  <c r="J21" i="9"/>
  <c r="C21" i="9"/>
  <c r="F21" i="9" s="1"/>
  <c r="J14" i="9"/>
  <c r="C14" i="9"/>
  <c r="F14" i="9" s="1"/>
  <c r="J13" i="9"/>
  <c r="C13" i="9"/>
  <c r="F13" i="9" s="1"/>
  <c r="C18" i="7"/>
  <c r="E18" i="7" s="1"/>
  <c r="I18" i="7" s="1"/>
  <c r="J15" i="9"/>
  <c r="C15" i="9"/>
  <c r="F15" i="9" s="1"/>
  <c r="J10" i="9"/>
  <c r="C10" i="9"/>
  <c r="F10" i="9" s="1"/>
  <c r="J7" i="9"/>
  <c r="C7" i="9"/>
  <c r="F7" i="9" s="1"/>
  <c r="C15" i="7"/>
  <c r="E15" i="7" s="1"/>
  <c r="I15" i="7" s="1"/>
  <c r="J8" i="9"/>
  <c r="C8" i="9"/>
  <c r="F8" i="9" s="1"/>
  <c r="J11" i="9"/>
  <c r="C11" i="9"/>
  <c r="F11" i="9" s="1"/>
  <c r="J9" i="9"/>
  <c r="C9" i="9"/>
  <c r="F9" i="9" s="1"/>
  <c r="C7" i="7"/>
  <c r="E7" i="7" s="1"/>
  <c r="K22" i="3"/>
  <c r="C8" i="7"/>
  <c r="E8" i="7" s="1"/>
  <c r="I8" i="7" s="1"/>
  <c r="K21" i="9" l="1"/>
  <c r="K10" i="9"/>
  <c r="K13" i="9"/>
  <c r="K17" i="9"/>
  <c r="K9" i="9"/>
  <c r="K15" i="9"/>
  <c r="K12" i="9"/>
  <c r="K20" i="9"/>
  <c r="K11" i="9"/>
  <c r="K8" i="9"/>
  <c r="K14" i="9"/>
  <c r="K19" i="9"/>
  <c r="K18" i="9"/>
  <c r="K7" i="9"/>
  <c r="F22" i="9"/>
  <c r="C22" i="9"/>
  <c r="C23" i="7"/>
  <c r="I7" i="7"/>
  <c r="E23" i="7"/>
  <c r="J2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author>
  </authors>
  <commentList>
    <comment ref="D1" authorId="0" shapeId="0" xr:uid="{00000000-0006-0000-0200-000001000000}">
      <text>
        <r>
          <rPr>
            <b/>
            <sz val="9"/>
            <color indexed="81"/>
            <rFont val="Tahoma"/>
            <family val="2"/>
          </rPr>
          <t xml:space="preserve">jennifer
</t>
        </r>
        <r>
          <rPr>
            <sz val="9"/>
            <color indexed="81"/>
            <rFont val="Tahoma"/>
            <family val="2"/>
          </rPr>
          <t>These were left at 2023 and 2024, so I updated them assuming that was correct?</t>
        </r>
      </text>
    </comment>
  </commentList>
</comments>
</file>

<file path=xl/sharedStrings.xml><?xml version="1.0" encoding="utf-8"?>
<sst xmlns="http://schemas.openxmlformats.org/spreadsheetml/2006/main" count="206" uniqueCount="137">
  <si>
    <t>Income</t>
  </si>
  <si>
    <t>Other income</t>
  </si>
  <si>
    <t>Expenses</t>
  </si>
  <si>
    <t>Website</t>
  </si>
  <si>
    <t>TOTAL</t>
  </si>
  <si>
    <t>Other</t>
  </si>
  <si>
    <t>b.</t>
  </si>
  <si>
    <t>c.</t>
  </si>
  <si>
    <t>d.</t>
  </si>
  <si>
    <t>OverDrive Vendor Fees</t>
  </si>
  <si>
    <t>a.</t>
  </si>
  <si>
    <t>f.</t>
  </si>
  <si>
    <t>g.</t>
  </si>
  <si>
    <t>h.</t>
  </si>
  <si>
    <t>i.</t>
  </si>
  <si>
    <t xml:space="preserve">Buying pool income </t>
  </si>
  <si>
    <t>Carryover*</t>
  </si>
  <si>
    <t>R &amp; D</t>
  </si>
  <si>
    <t>OverDrive Content</t>
  </si>
  <si>
    <t>Operating/project expenses</t>
  </si>
  <si>
    <t>Total expenditures in budget:</t>
  </si>
  <si>
    <t>Partner</t>
  </si>
  <si>
    <t>Difference</t>
  </si>
  <si>
    <t xml:space="preserve">Bridges </t>
  </si>
  <si>
    <t>Kenosha</t>
  </si>
  <si>
    <t>Manitowoc Calumet</t>
  </si>
  <si>
    <t>Milwaukee</t>
  </si>
  <si>
    <t>Monarch</t>
  </si>
  <si>
    <t>Nicolet</t>
  </si>
  <si>
    <t>Northern Waters</t>
  </si>
  <si>
    <t>OWLS</t>
  </si>
  <si>
    <t>South Central</t>
  </si>
  <si>
    <t>Southwest Wisconsin</t>
  </si>
  <si>
    <t>Winding Rivers</t>
  </si>
  <si>
    <t>Winnefox</t>
  </si>
  <si>
    <t>WVLS</t>
  </si>
  <si>
    <t>TOTALS</t>
  </si>
  <si>
    <t>Base amount</t>
  </si>
  <si>
    <t>Base amount goes toward shared collection</t>
  </si>
  <si>
    <t>Holds reduction amount</t>
  </si>
  <si>
    <t>Holds reduction amount goes to Advantage</t>
  </si>
  <si>
    <t>Base amount**</t>
  </si>
  <si>
    <t>Overdrive Checkouts by system</t>
  </si>
  <si>
    <t>Usage</t>
  </si>
  <si>
    <t>% of usage</t>
  </si>
  <si>
    <t>% of population</t>
  </si>
  <si>
    <t>Share</t>
  </si>
  <si>
    <t>Holds placed</t>
  </si>
  <si>
    <t>% of holds placed</t>
  </si>
  <si>
    <t>Share (Advantage)</t>
  </si>
  <si>
    <t>Arrowhead Library System</t>
  </si>
  <si>
    <t>Bridges Library System</t>
  </si>
  <si>
    <t>Kenosha County Library System</t>
  </si>
  <si>
    <t>Lakeshores Library System</t>
  </si>
  <si>
    <t>Manitowoc-Calumet Library System</t>
  </si>
  <si>
    <t>Milwaukee Co. Federated Library System</t>
  </si>
  <si>
    <t>Monarch Library System</t>
  </si>
  <si>
    <t>Nicolet Federated Library System***</t>
  </si>
  <si>
    <t>Northern Waters Library Service</t>
  </si>
  <si>
    <t>Outagamie Waupaca Library System***</t>
  </si>
  <si>
    <t>South Central Library System</t>
  </si>
  <si>
    <t>Southwest Wisconsin Library System</t>
  </si>
  <si>
    <t>Winding Rivers Library System</t>
  </si>
  <si>
    <t>Winnefox Library System</t>
  </si>
  <si>
    <t xml:space="preserve">Wisconsin Valley Library Service </t>
  </si>
  <si>
    <t>Totals</t>
  </si>
  <si>
    <t>**Usage weighted at 75%; population weighted at 25%</t>
  </si>
  <si>
    <t>***Holds are for InfoSoup, split by ratio of usage</t>
  </si>
  <si>
    <t>percentage</t>
  </si>
  <si>
    <t>Change</t>
  </si>
  <si>
    <t>Wisconsin Valley Library Service</t>
  </si>
  <si>
    <t>Outagamie Waupaca Library System</t>
  </si>
  <si>
    <t>Nicolet Federated Library System</t>
  </si>
  <si>
    <t>in Total</t>
  </si>
  <si>
    <t>Total</t>
  </si>
  <si>
    <t>Buying pool</t>
  </si>
  <si>
    <t xml:space="preserve">Member shares </t>
  </si>
  <si>
    <t>Buying Pool</t>
  </si>
  <si>
    <t>Buying Pool Total</t>
  </si>
  <si>
    <t>IFLS</t>
  </si>
  <si>
    <t>IFLS Library System</t>
  </si>
  <si>
    <t>Population*</t>
  </si>
  <si>
    <t>Magazine amount</t>
  </si>
  <si>
    <t>Population</t>
  </si>
  <si>
    <t>Total Magazine Cost</t>
  </si>
  <si>
    <t>Magazine Cost</t>
  </si>
  <si>
    <t>Magazine Costs</t>
  </si>
  <si>
    <t>j.</t>
  </si>
  <si>
    <t>k.</t>
  </si>
  <si>
    <t>KEY</t>
  </si>
  <si>
    <t>Magazine Share</t>
  </si>
  <si>
    <t xml:space="preserve">*Extended county population from DPI </t>
  </si>
  <si>
    <t xml:space="preserve">Partner shares </t>
  </si>
  <si>
    <t>Rate Type</t>
  </si>
  <si>
    <t>Standard</t>
  </si>
  <si>
    <t>Professional</t>
  </si>
  <si>
    <t>Total Cost</t>
  </si>
  <si>
    <t>Cost per hour</t>
  </si>
  <si>
    <t>Percentage</t>
  </si>
  <si>
    <t>Program management</t>
  </si>
  <si>
    <t>Reserve</t>
  </si>
  <si>
    <t>Usage W/o Advantage</t>
  </si>
  <si>
    <t>System</t>
  </si>
  <si>
    <t>projected hours</t>
  </si>
  <si>
    <t>Prairie Lakes Library System*</t>
  </si>
  <si>
    <t>Partner shares</t>
  </si>
  <si>
    <t>Conference and Scholarship Costs</t>
  </si>
  <si>
    <t>2025 budget</t>
  </si>
  <si>
    <t>ContentDM Hosting</t>
  </si>
  <si>
    <t>Prairie Lakes Library System</t>
  </si>
  <si>
    <t>2025 Partner Shares</t>
  </si>
  <si>
    <t>*WiLS considers project duration, size, complexity, and audience when establishing rates for larger projects. Our rate structure and contracts are designed to focus on project outcomes and total cost, rather than building solely on project management hours.</t>
  </si>
  <si>
    <t>Digital Library Marketing</t>
  </si>
  <si>
    <t>l.</t>
  </si>
  <si>
    <t>m.</t>
  </si>
  <si>
    <t>NOTE: TOTALS Below are using buying pool formula (25% population and 75% usage) for Magazine Costs</t>
  </si>
  <si>
    <t>2025 Magazine Costs - using buying pool formula (25% population and 75% total usage)</t>
  </si>
  <si>
    <t>2026 budget</t>
  </si>
  <si>
    <t>Prairie Lakes</t>
  </si>
  <si>
    <t>Nicolet 2024 circulation: 528,341</t>
  </si>
  <si>
    <t>OWLS 2024 circulation: 328,419</t>
  </si>
  <si>
    <t>Total circulations: 856,760</t>
  </si>
  <si>
    <t>Total holds: 260,445</t>
  </si>
  <si>
    <t>Percentage of OWLS circulation: 38.33%</t>
  </si>
  <si>
    <t>Percentage of Nicolet circulation: 61.66%</t>
  </si>
  <si>
    <t>38.33% (for OWLS) of holds: 99,835</t>
  </si>
  <si>
    <t xml:space="preserve">61.66% (for Nicolet) of holds: 160,609 (+ 183,032 from Brown County) </t>
  </si>
  <si>
    <t xml:space="preserve">*We do not assume any carryover in our budget. </t>
  </si>
  <si>
    <t>Reserve/R&amp;D Fund Allocations**</t>
  </si>
  <si>
    <t>WiLS Rates 2024-2025</t>
  </si>
  <si>
    <t>Project Management hours and cost for 2025</t>
  </si>
  <si>
    <t>Potential Increase suggestions for 2026</t>
  </si>
  <si>
    <t>Digital Newspaper Hosting***</t>
  </si>
  <si>
    <t>***Not currently being budgeted for. There is $14,142.48 reserved for Newspaper Hosting.</t>
  </si>
  <si>
    <t>Cost per share:</t>
  </si>
  <si>
    <t>**As of 2/28/2025, there is $77,141.25 in R&amp;D and $42,530.64 in Reserve. R&amp;D is capped at $80,000 and Reserves at $50,000. If both are fully funded, funds should move to OverDrive Content.</t>
  </si>
  <si>
    <t>2026 Partner 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</si>
</sst>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quot;$&quot;* #,##0_);_(&quot;$&quot;* \(#,##0\);_(&quot;$&quot;* &quot;-&quot;??_);_(@_)"/>
    <numFmt numFmtId="166" formatCode="&quot;$&quot;#,##0"/>
    <numFmt numFmtId="167" formatCode="_(* #,##0_);_(* \(#,##0\);_(* &quot;-&quot;??_);_(@_)"/>
    <numFmt numFmtId="168" formatCode="0.0%"/>
  </numFmts>
  <fonts count="29"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b/>
      <sz val="12"/>
      <color indexed="8"/>
      <name val="Calibri"/>
      <family val="2"/>
    </font>
    <font>
      <sz val="8"/>
      <name val="Calibri"/>
      <family val="2"/>
    </font>
    <font>
      <sz val="12"/>
      <color indexed="8"/>
      <name val="Calibri"/>
      <family val="2"/>
    </font>
    <font>
      <sz val="11"/>
      <color indexed="8"/>
      <name val="Calibri"/>
      <family val="2"/>
    </font>
    <font>
      <b/>
      <sz val="11"/>
      <color indexed="8"/>
      <name val="Calibri"/>
      <family val="2"/>
    </font>
    <font>
      <b/>
      <sz val="12"/>
      <color indexed="8"/>
      <name val="Calibri"/>
      <family val="2"/>
    </font>
    <font>
      <b/>
      <sz val="14"/>
      <color indexed="8"/>
      <name val="Calibri"/>
      <family val="2"/>
    </font>
    <font>
      <sz val="11"/>
      <color indexed="8"/>
      <name val="Calibri"/>
      <family val="2"/>
    </font>
    <font>
      <sz val="11"/>
      <name val="Calibri"/>
      <family val="2"/>
    </font>
    <font>
      <sz val="10"/>
      <name val="Times New Roman"/>
      <family val="1"/>
    </font>
    <font>
      <sz val="11"/>
      <color theme="1"/>
      <name val="Calibri"/>
      <family val="2"/>
      <scheme val="minor"/>
    </font>
    <font>
      <sz val="8"/>
      <color theme="1"/>
      <name val="Arial"/>
      <family val="2"/>
    </font>
    <font>
      <u/>
      <sz val="11"/>
      <color theme="10"/>
      <name val="Calibri"/>
      <family val="2"/>
    </font>
    <font>
      <b/>
      <sz val="11"/>
      <color theme="1"/>
      <name val="Calibri"/>
      <family val="2"/>
      <scheme val="minor"/>
    </font>
    <font>
      <sz val="11"/>
      <color rgb="FFFF0000"/>
      <name val="Calibri"/>
      <family val="2"/>
      <scheme val="minor"/>
    </font>
    <font>
      <b/>
      <sz val="11"/>
      <color theme="1" tint="0.34998626667073579"/>
      <name val="Calibri"/>
      <family val="2"/>
      <scheme val="minor"/>
    </font>
    <font>
      <b/>
      <sz val="11"/>
      <name val="Calibri"/>
      <family val="2"/>
      <scheme val="minor"/>
    </font>
    <font>
      <sz val="11"/>
      <name val="Calibri"/>
      <family val="2"/>
      <scheme val="minor"/>
    </font>
    <font>
      <sz val="11"/>
      <color theme="1" tint="0.34998626667073579"/>
      <name val="Calibri"/>
      <family val="2"/>
      <scheme val="minor"/>
    </font>
    <font>
      <i/>
      <sz val="11"/>
      <name val="Calibri"/>
      <family val="2"/>
      <scheme val="minor"/>
    </font>
    <font>
      <b/>
      <sz val="14"/>
      <color theme="1"/>
      <name val="Calibri"/>
      <family val="2"/>
      <scheme val="minor"/>
    </font>
    <font>
      <i/>
      <sz val="11"/>
      <color theme="1"/>
      <name val="Calibri"/>
      <family val="2"/>
      <scheme val="minor"/>
    </font>
    <font>
      <b/>
      <sz val="9"/>
      <color indexed="81"/>
      <name val="Tahoma"/>
      <family val="2"/>
    </font>
    <font>
      <sz val="9"/>
      <color indexed="81"/>
      <name val="Tahoma"/>
      <family val="2"/>
    </font>
    <font>
      <b/>
      <sz val="10"/>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CC"/>
        <bgColor indexed="64"/>
      </patternFill>
    </fill>
    <fill>
      <patternFill patternType="solid">
        <fgColor theme="2"/>
        <bgColor indexed="64"/>
      </patternFill>
    </fill>
  </fills>
  <borders count="14">
    <border>
      <left/>
      <right/>
      <top/>
      <bottom/>
      <diagonal/>
    </border>
    <border>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
    <xf numFmtId="0" fontId="0" fillId="0" borderId="0"/>
    <xf numFmtId="43" fontId="1"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0" fontId="16" fillId="0" borderId="0" applyNumberFormat="0" applyFill="0" applyBorder="0" applyAlignment="0" applyProtection="0">
      <alignment vertical="top"/>
      <protection locked="0"/>
    </xf>
    <xf numFmtId="0" fontId="15" fillId="0" borderId="0"/>
    <xf numFmtId="9" fontId="11"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0" fontId="0" fillId="0" borderId="0" xfId="0" applyAlignment="1">
      <alignment wrapText="1"/>
    </xf>
    <xf numFmtId="0" fontId="4" fillId="0" borderId="0" xfId="0" applyFont="1"/>
    <xf numFmtId="0" fontId="4" fillId="0" borderId="0" xfId="0" applyFont="1" applyAlignment="1">
      <alignment wrapText="1"/>
    </xf>
    <xf numFmtId="0" fontId="3" fillId="0" borderId="0" xfId="0" applyFont="1" applyAlignment="1">
      <alignment wrapText="1"/>
    </xf>
    <xf numFmtId="0" fontId="8" fillId="0" borderId="0" xfId="0" applyFont="1" applyAlignment="1">
      <alignment wrapText="1"/>
    </xf>
    <xf numFmtId="166" fontId="0" fillId="0" borderId="0" xfId="0" applyNumberFormat="1" applyAlignment="1">
      <alignment wrapText="1"/>
    </xf>
    <xf numFmtId="0" fontId="17" fillId="0" borderId="0" xfId="0" applyFont="1" applyAlignment="1">
      <alignment wrapText="1"/>
    </xf>
    <xf numFmtId="0" fontId="10" fillId="0" borderId="0" xfId="0" applyFont="1" applyAlignment="1">
      <alignment wrapText="1"/>
    </xf>
    <xf numFmtId="165" fontId="14" fillId="0" borderId="0" xfId="5" applyNumberFormat="1" applyFont="1" applyFill="1"/>
    <xf numFmtId="0" fontId="17" fillId="0" borderId="0" xfId="0" applyFont="1"/>
    <xf numFmtId="44" fontId="0" fillId="0" borderId="0" xfId="0" applyNumberFormat="1"/>
    <xf numFmtId="3" fontId="13" fillId="0" borderId="0" xfId="3" quotePrefix="1" applyNumberFormat="1" applyFont="1" applyFill="1" applyAlignment="1">
      <alignment horizontal="right"/>
    </xf>
    <xf numFmtId="44" fontId="17" fillId="0" borderId="0" xfId="0" applyNumberFormat="1" applyFont="1"/>
    <xf numFmtId="165" fontId="0" fillId="0" borderId="0" xfId="0" applyNumberFormat="1"/>
    <xf numFmtId="165" fontId="14" fillId="2" borderId="0" xfId="5" applyNumberFormat="1" applyFont="1" applyFill="1"/>
    <xf numFmtId="0" fontId="17" fillId="0" borderId="0" xfId="0" applyFont="1" applyAlignment="1">
      <alignment horizontal="center"/>
    </xf>
    <xf numFmtId="0" fontId="19" fillId="0" borderId="0" xfId="0" applyFont="1" applyAlignment="1">
      <alignment horizontal="center"/>
    </xf>
    <xf numFmtId="0" fontId="20" fillId="0" borderId="1" xfId="0" applyFont="1" applyBorder="1" applyAlignment="1">
      <alignment wrapText="1"/>
    </xf>
    <xf numFmtId="0" fontId="17" fillId="0" borderId="1" xfId="0" applyFont="1" applyBorder="1" applyAlignment="1">
      <alignment horizontal="center"/>
    </xf>
    <xf numFmtId="0" fontId="0" fillId="0" borderId="2" xfId="0" applyBorder="1" applyAlignment="1">
      <alignment wrapText="1"/>
    </xf>
    <xf numFmtId="165" fontId="0" fillId="3" borderId="0" xfId="0" applyNumberFormat="1" applyFill="1"/>
    <xf numFmtId="3" fontId="0" fillId="0" borderId="0" xfId="0" applyNumberFormat="1"/>
    <xf numFmtId="0" fontId="12" fillId="0" borderId="2" xfId="8" applyFont="1" applyBorder="1" applyAlignment="1" applyProtection="1">
      <alignment wrapText="1"/>
    </xf>
    <xf numFmtId="0" fontId="12" fillId="0" borderId="3" xfId="8" applyFont="1" applyBorder="1" applyAlignment="1" applyProtection="1">
      <alignment wrapText="1"/>
    </xf>
    <xf numFmtId="168" fontId="14" fillId="0" borderId="0" xfId="11" applyNumberFormat="1" applyFont="1" applyBorder="1"/>
    <xf numFmtId="0" fontId="21" fillId="0" borderId="0" xfId="0" applyFont="1" applyAlignment="1">
      <alignment wrapText="1"/>
    </xf>
    <xf numFmtId="0" fontId="20" fillId="0" borderId="0" xfId="0" applyFont="1" applyAlignment="1">
      <alignment wrapText="1"/>
    </xf>
    <xf numFmtId="0" fontId="12" fillId="0" borderId="0" xfId="8" applyFont="1" applyBorder="1" applyAlignment="1" applyProtection="1">
      <alignment wrapText="1"/>
    </xf>
    <xf numFmtId="0" fontId="0" fillId="3" borderId="4" xfId="0" applyFill="1" applyBorder="1" applyAlignment="1">
      <alignment wrapText="1"/>
    </xf>
    <xf numFmtId="0" fontId="0" fillId="0" borderId="5" xfId="0" applyBorder="1"/>
    <xf numFmtId="0" fontId="0" fillId="0" borderId="7" xfId="0" applyBorder="1"/>
    <xf numFmtId="165" fontId="14" fillId="2" borderId="0" xfId="4" applyNumberFormat="1" applyFont="1" applyFill="1" applyBorder="1"/>
    <xf numFmtId="0" fontId="0" fillId="2" borderId="9" xfId="0" applyFill="1" applyBorder="1" applyAlignment="1">
      <alignment wrapText="1"/>
    </xf>
    <xf numFmtId="6" fontId="0" fillId="0" borderId="0" xfId="0" applyNumberFormat="1"/>
    <xf numFmtId="44" fontId="22" fillId="0" borderId="0" xfId="0" applyNumberFormat="1" applyFont="1"/>
    <xf numFmtId="9" fontId="14" fillId="0" borderId="0" xfId="11" applyFont="1" applyBorder="1"/>
    <xf numFmtId="0" fontId="17" fillId="0" borderId="1" xfId="0" applyFont="1" applyBorder="1"/>
    <xf numFmtId="0" fontId="19" fillId="0" borderId="1" xfId="0" applyFont="1" applyBorder="1" applyAlignment="1">
      <alignment horizontal="center"/>
    </xf>
    <xf numFmtId="0" fontId="22" fillId="0" borderId="1" xfId="0" applyFont="1" applyBorder="1"/>
    <xf numFmtId="0" fontId="20" fillId="0" borderId="0" xfId="0" applyFont="1" applyAlignment="1">
      <alignment horizontal="center"/>
    </xf>
    <xf numFmtId="165" fontId="22" fillId="0" borderId="0" xfId="10" applyNumberFormat="1" applyFont="1" applyBorder="1"/>
    <xf numFmtId="0" fontId="0" fillId="0" borderId="3" xfId="0" applyBorder="1"/>
    <xf numFmtId="0" fontId="0" fillId="0" borderId="2" xfId="0" applyBorder="1"/>
    <xf numFmtId="0" fontId="0" fillId="0" borderId="1" xfId="0" applyBorder="1"/>
    <xf numFmtId="0" fontId="17" fillId="0" borderId="0" xfId="0" applyFont="1" applyAlignment="1">
      <alignment horizontal="left"/>
    </xf>
    <xf numFmtId="0" fontId="17" fillId="3" borderId="0" xfId="0" applyFont="1" applyFill="1"/>
    <xf numFmtId="165" fontId="14" fillId="3" borderId="0" xfId="5" applyNumberFormat="1" applyFont="1" applyFill="1"/>
    <xf numFmtId="168" fontId="14" fillId="0" borderId="0" xfId="10" applyNumberFormat="1" applyFont="1" applyFill="1" applyBorder="1"/>
    <xf numFmtId="168" fontId="14" fillId="0" borderId="0" xfId="13" applyNumberFormat="1" applyFont="1" applyFill="1" applyBorder="1"/>
    <xf numFmtId="165" fontId="14" fillId="3" borderId="0" xfId="4" applyNumberFormat="1" applyFont="1" applyFill="1" applyBorder="1"/>
    <xf numFmtId="0" fontId="10" fillId="0" borderId="0" xfId="0" applyFont="1" applyAlignment="1">
      <alignment horizontal="center" wrapText="1"/>
    </xf>
    <xf numFmtId="0" fontId="12" fillId="0" borderId="0" xfId="0" applyFont="1" applyAlignment="1">
      <alignment wrapText="1"/>
    </xf>
    <xf numFmtId="166" fontId="0" fillId="0" borderId="0" xfId="0" applyNumberFormat="1"/>
    <xf numFmtId="166" fontId="4" fillId="0" borderId="0" xfId="0" applyNumberFormat="1" applyFont="1" applyAlignment="1">
      <alignment wrapText="1"/>
    </xf>
    <xf numFmtId="166" fontId="14" fillId="0" borderId="0" xfId="4" applyNumberFormat="1" applyFont="1" applyFill="1" applyAlignment="1">
      <alignment wrapText="1"/>
    </xf>
    <xf numFmtId="166" fontId="14" fillId="0" borderId="0" xfId="4" applyNumberFormat="1" applyFont="1" applyFill="1" applyAlignment="1">
      <alignment horizontal="right" wrapText="1"/>
    </xf>
    <xf numFmtId="164" fontId="0" fillId="0" borderId="0" xfId="0" applyNumberFormat="1" applyAlignment="1">
      <alignment wrapText="1"/>
    </xf>
    <xf numFmtId="164" fontId="0" fillId="0" borderId="0" xfId="0" applyNumberFormat="1"/>
    <xf numFmtId="165" fontId="17" fillId="3" borderId="0" xfId="5" applyNumberFormat="1" applyFont="1" applyFill="1"/>
    <xf numFmtId="0" fontId="10" fillId="0" borderId="0" xfId="0" applyFont="1" applyAlignment="1">
      <alignment horizontal="center"/>
    </xf>
    <xf numFmtId="0" fontId="9" fillId="0" borderId="0" xfId="0" applyFont="1"/>
    <xf numFmtId="6" fontId="4" fillId="0" borderId="0" xfId="0" applyNumberFormat="1" applyFont="1"/>
    <xf numFmtId="0" fontId="6" fillId="0" borderId="0" xfId="0" applyFont="1"/>
    <xf numFmtId="44" fontId="7" fillId="0" borderId="0" xfId="4" applyFont="1" applyBorder="1"/>
    <xf numFmtId="6" fontId="9" fillId="0" borderId="0" xfId="4" applyNumberFormat="1" applyFont="1" applyBorder="1"/>
    <xf numFmtId="164" fontId="7" fillId="0" borderId="0" xfId="4" applyNumberFormat="1" applyFont="1" applyBorder="1"/>
    <xf numFmtId="166" fontId="6" fillId="0" borderId="0" xfId="0" applyNumberFormat="1" applyFont="1"/>
    <xf numFmtId="10" fontId="7" fillId="0" borderId="0" xfId="4" applyNumberFormat="1" applyFont="1" applyBorder="1"/>
    <xf numFmtId="164" fontId="1" fillId="0" borderId="0" xfId="4" applyNumberFormat="1" applyFont="1" applyBorder="1"/>
    <xf numFmtId="165" fontId="17" fillId="0" borderId="0" xfId="6" applyNumberFormat="1" applyFont="1" applyFill="1" applyBorder="1"/>
    <xf numFmtId="0" fontId="21" fillId="0" borderId="0" xfId="0" applyFont="1"/>
    <xf numFmtId="0" fontId="17" fillId="0" borderId="1" xfId="0" applyFont="1" applyBorder="1" applyAlignment="1">
      <alignment horizontal="center" vertical="top"/>
    </xf>
    <xf numFmtId="0" fontId="22" fillId="0" borderId="1" xfId="0" applyFont="1" applyBorder="1" applyAlignment="1">
      <alignment vertical="top"/>
    </xf>
    <xf numFmtId="165" fontId="22" fillId="0" borderId="0" xfId="13" applyNumberFormat="1" applyFont="1" applyBorder="1"/>
    <xf numFmtId="0" fontId="17" fillId="0" borderId="1" xfId="0" applyFont="1" applyBorder="1" applyAlignment="1">
      <alignment horizontal="center" vertical="top" wrapText="1"/>
    </xf>
    <xf numFmtId="0" fontId="19" fillId="0" borderId="1" xfId="0" applyFont="1" applyBorder="1" applyAlignment="1">
      <alignment horizontal="center" vertical="top"/>
    </xf>
    <xf numFmtId="165" fontId="14" fillId="0" borderId="0" xfId="6" applyNumberFormat="1" applyFont="1" applyFill="1" applyBorder="1"/>
    <xf numFmtId="0" fontId="20" fillId="0" borderId="1" xfId="0" applyFont="1" applyBorder="1"/>
    <xf numFmtId="165" fontId="14" fillId="3" borderId="0" xfId="4" applyNumberFormat="1" applyFont="1" applyFill="1" applyBorder="1" applyAlignment="1"/>
    <xf numFmtId="165" fontId="14" fillId="3" borderId="0" xfId="5" applyNumberFormat="1" applyFont="1" applyFill="1" applyAlignment="1"/>
    <xf numFmtId="0" fontId="12" fillId="0" borderId="2" xfId="8" applyFont="1" applyBorder="1" applyAlignment="1" applyProtection="1"/>
    <xf numFmtId="0" fontId="12" fillId="0" borderId="3" xfId="8" applyFont="1" applyBorder="1" applyAlignment="1" applyProtection="1"/>
    <xf numFmtId="0" fontId="0" fillId="3" borderId="5" xfId="0" applyFill="1" applyBorder="1"/>
    <xf numFmtId="0" fontId="17" fillId="0" borderId="7" xfId="0" applyFont="1" applyBorder="1"/>
    <xf numFmtId="0" fontId="0" fillId="0" borderId="6" xfId="0" applyBorder="1" applyAlignment="1">
      <alignment horizontal="left"/>
    </xf>
    <xf numFmtId="0" fontId="0" fillId="0" borderId="8" xfId="0" applyBorder="1" applyAlignment="1">
      <alignment horizontal="left"/>
    </xf>
    <xf numFmtId="0" fontId="25" fillId="0" borderId="10" xfId="0" applyFont="1" applyBorder="1"/>
    <xf numFmtId="165" fontId="25" fillId="0" borderId="10" xfId="0" applyNumberFormat="1" applyFont="1" applyBorder="1"/>
    <xf numFmtId="0" fontId="23" fillId="0" borderId="0" xfId="0" applyFont="1"/>
    <xf numFmtId="164" fontId="18" fillId="0" borderId="0" xfId="0" applyNumberFormat="1" applyFont="1"/>
    <xf numFmtId="0" fontId="18" fillId="0" borderId="0" xfId="0" applyFont="1" applyAlignment="1">
      <alignment vertical="top"/>
    </xf>
    <xf numFmtId="165" fontId="14" fillId="4" borderId="0" xfId="4" applyNumberFormat="1" applyFont="1" applyFill="1" applyBorder="1" applyAlignment="1"/>
    <xf numFmtId="165" fontId="14" fillId="4" borderId="0" xfId="5" applyNumberFormat="1" applyFont="1" applyFill="1" applyAlignment="1"/>
    <xf numFmtId="0" fontId="0" fillId="4" borderId="7" xfId="0" applyFill="1" applyBorder="1"/>
    <xf numFmtId="0" fontId="17" fillId="4" borderId="0" xfId="0" applyFont="1" applyFill="1"/>
    <xf numFmtId="44" fontId="17" fillId="4" borderId="0" xfId="5" applyFont="1" applyFill="1"/>
    <xf numFmtId="0" fontId="18" fillId="0" borderId="0" xfId="0" applyFont="1"/>
    <xf numFmtId="0" fontId="17" fillId="0" borderId="0" xfId="0" applyFont="1" applyAlignment="1">
      <alignment horizontal="left" vertical="center" wrapText="1"/>
    </xf>
    <xf numFmtId="8" fontId="0" fillId="0" borderId="0" xfId="0" applyNumberFormat="1" applyAlignment="1">
      <alignment vertical="top" wrapText="1"/>
    </xf>
    <xf numFmtId="9" fontId="0" fillId="0" borderId="0" xfId="0" applyNumberFormat="1"/>
    <xf numFmtId="166" fontId="14" fillId="0" borderId="0" xfId="5" applyNumberFormat="1" applyFont="1" applyFill="1" applyAlignment="1">
      <alignment wrapText="1"/>
    </xf>
    <xf numFmtId="0" fontId="17" fillId="5" borderId="0" xfId="0" applyFont="1" applyFill="1" applyAlignment="1">
      <alignment horizontal="center"/>
    </xf>
    <xf numFmtId="0" fontId="17" fillId="5" borderId="1" xfId="0" applyFont="1" applyFill="1" applyBorder="1" applyAlignment="1">
      <alignment horizontal="center"/>
    </xf>
    <xf numFmtId="165" fontId="0" fillId="5" borderId="0" xfId="0" applyNumberFormat="1" applyFill="1"/>
    <xf numFmtId="0" fontId="20" fillId="0" borderId="1" xfId="0" applyFont="1" applyBorder="1" applyAlignment="1">
      <alignment horizontal="center"/>
    </xf>
    <xf numFmtId="168" fontId="21" fillId="0" borderId="0" xfId="11" applyNumberFormat="1" applyFont="1" applyBorder="1"/>
    <xf numFmtId="165" fontId="0" fillId="3" borderId="0" xfId="4" applyNumberFormat="1" applyFont="1" applyFill="1" applyBorder="1" applyAlignment="1"/>
    <xf numFmtId="165" fontId="0" fillId="3" borderId="0" xfId="5" applyNumberFormat="1" applyFont="1" applyFill="1" applyAlignment="1"/>
    <xf numFmtId="166" fontId="21" fillId="0" borderId="0" xfId="0" applyNumberFormat="1" applyFont="1" applyAlignment="1">
      <alignment wrapText="1"/>
    </xf>
    <xf numFmtId="165" fontId="0" fillId="0" borderId="0" xfId="5" applyNumberFormat="1" applyFont="1" applyFill="1" applyAlignment="1"/>
    <xf numFmtId="165" fontId="22" fillId="0" borderId="0" xfId="0" applyNumberFormat="1" applyFont="1" applyAlignment="1">
      <alignment horizontal="left"/>
    </xf>
    <xf numFmtId="0" fontId="21" fillId="6" borderId="12" xfId="0" applyFont="1" applyFill="1" applyBorder="1" applyAlignment="1">
      <alignment wrapText="1"/>
    </xf>
    <xf numFmtId="0" fontId="21" fillId="6" borderId="13" xfId="0" applyFont="1" applyFill="1" applyBorder="1" applyAlignment="1">
      <alignment wrapText="1"/>
    </xf>
    <xf numFmtId="0" fontId="23" fillId="6" borderId="13" xfId="0" applyFont="1" applyFill="1" applyBorder="1" applyAlignment="1">
      <alignment wrapText="1"/>
    </xf>
    <xf numFmtId="0" fontId="21" fillId="6" borderId="11" xfId="0" applyFont="1" applyFill="1" applyBorder="1" applyAlignment="1">
      <alignment wrapText="1"/>
    </xf>
    <xf numFmtId="166" fontId="21" fillId="0" borderId="0" xfId="4" applyNumberFormat="1" applyFont="1" applyFill="1" applyAlignment="1">
      <alignment horizontal="right" wrapText="1"/>
    </xf>
    <xf numFmtId="165" fontId="22" fillId="2" borderId="0" xfId="4" applyNumberFormat="1" applyFont="1" applyFill="1" applyBorder="1"/>
    <xf numFmtId="3" fontId="21" fillId="0" borderId="0" xfId="0" applyNumberFormat="1" applyFont="1"/>
    <xf numFmtId="167" fontId="21" fillId="0" borderId="0" xfId="2" applyNumberFormat="1" applyFont="1" applyFill="1" applyBorder="1"/>
    <xf numFmtId="167" fontId="21" fillId="0" borderId="0" xfId="1" applyNumberFormat="1" applyFont="1" applyBorder="1"/>
    <xf numFmtId="167" fontId="0" fillId="0" borderId="0" xfId="0" applyNumberFormat="1"/>
    <xf numFmtId="0" fontId="20" fillId="0" borderId="1" xfId="0" applyFont="1" applyBorder="1" applyAlignment="1">
      <alignment horizontal="center" vertical="top"/>
    </xf>
    <xf numFmtId="167" fontId="21" fillId="0" borderId="0" xfId="2" applyNumberFormat="1" applyFont="1" applyBorder="1"/>
    <xf numFmtId="0" fontId="21" fillId="0" borderId="0" xfId="0" applyFont="1" applyAlignment="1">
      <alignment vertical="top" wrapText="1"/>
    </xf>
    <xf numFmtId="166" fontId="21" fillId="0" borderId="0" xfId="4" applyNumberFormat="1" applyFont="1" applyFill="1" applyAlignment="1">
      <alignment wrapText="1"/>
    </xf>
    <xf numFmtId="166" fontId="21" fillId="0" borderId="0" xfId="0" applyNumberFormat="1" applyFont="1"/>
    <xf numFmtId="0" fontId="20" fillId="0" borderId="0" xfId="0" applyFont="1"/>
    <xf numFmtId="9" fontId="21" fillId="0" borderId="0" xfId="11" applyFont="1" applyBorder="1"/>
    <xf numFmtId="167" fontId="21" fillId="0" borderId="0" xfId="0" applyNumberFormat="1" applyFont="1"/>
    <xf numFmtId="165" fontId="20" fillId="0" borderId="1" xfId="0" applyNumberFormat="1" applyFont="1" applyBorder="1"/>
    <xf numFmtId="168" fontId="21" fillId="0" borderId="0" xfId="13" applyNumberFormat="1" applyFont="1" applyFill="1" applyBorder="1"/>
    <xf numFmtId="168" fontId="21" fillId="0" borderId="0" xfId="0" applyNumberFormat="1" applyFont="1"/>
    <xf numFmtId="0" fontId="20" fillId="0" borderId="1" xfId="0" applyFont="1" applyBorder="1" applyAlignment="1">
      <alignment vertical="center"/>
    </xf>
    <xf numFmtId="0" fontId="20" fillId="0" borderId="0" xfId="0" applyFont="1" applyAlignment="1">
      <alignment horizontal="left" vertical="center" wrapText="1"/>
    </xf>
    <xf numFmtId="8" fontId="21" fillId="0" borderId="0" xfId="0" applyNumberFormat="1" applyFont="1" applyAlignment="1">
      <alignment vertical="top" wrapText="1"/>
    </xf>
    <xf numFmtId="9" fontId="21" fillId="0" borderId="0" xfId="0" applyNumberFormat="1" applyFont="1"/>
    <xf numFmtId="166" fontId="21" fillId="0" borderId="0" xfId="5" applyNumberFormat="1" applyFont="1" applyFill="1" applyAlignment="1">
      <alignment wrapText="1"/>
    </xf>
    <xf numFmtId="164" fontId="21" fillId="0" borderId="0" xfId="0" applyNumberFormat="1" applyFont="1"/>
    <xf numFmtId="0" fontId="21" fillId="0" borderId="1" xfId="0" applyFont="1" applyBorder="1"/>
    <xf numFmtId="0" fontId="0" fillId="0" borderId="0" xfId="0" applyAlignment="1">
      <alignment vertical="top" wrapText="1"/>
    </xf>
    <xf numFmtId="44" fontId="14" fillId="4" borderId="0" xfId="5" applyFont="1" applyFill="1"/>
    <xf numFmtId="165" fontId="22" fillId="0" borderId="0" xfId="0" applyNumberFormat="1" applyFont="1"/>
    <xf numFmtId="0" fontId="21" fillId="0" borderId="0" xfId="0" applyFont="1" applyAlignment="1">
      <alignment horizontal="left" vertical="top" wrapText="1"/>
    </xf>
    <xf numFmtId="0" fontId="0" fillId="0" borderId="0" xfId="0" applyAlignment="1">
      <alignment horizontal="left" vertical="top" wrapText="1"/>
    </xf>
    <xf numFmtId="0" fontId="24" fillId="0" borderId="1" xfId="0" applyFont="1" applyBorder="1" applyAlignment="1">
      <alignment horizontal="left"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28" fillId="0" borderId="1" xfId="0" applyFont="1" applyBorder="1" applyAlignment="1">
      <alignment horizontal="left" wrapText="1"/>
    </xf>
    <xf numFmtId="0" fontId="20" fillId="0" borderId="1" xfId="0" applyFont="1" applyBorder="1" applyAlignment="1">
      <alignment horizontal="left"/>
    </xf>
    <xf numFmtId="0" fontId="21" fillId="0" borderId="0" xfId="0" applyFont="1" applyAlignment="1">
      <alignment horizontal="left" wrapText="1"/>
    </xf>
  </cellXfs>
  <cellStyles count="14">
    <cellStyle name="Comma 2" xfId="1" xr:uid="{00000000-0005-0000-0000-000000000000}"/>
    <cellStyle name="Comma 3" xfId="2" xr:uid="{00000000-0005-0000-0000-000001000000}"/>
    <cellStyle name="Comma 4" xfId="3" xr:uid="{00000000-0005-0000-0000-000002000000}"/>
    <cellStyle name="Currency" xfId="4" builtinId="4"/>
    <cellStyle name="Currency 2" xfId="5" xr:uid="{00000000-0005-0000-0000-000004000000}"/>
    <cellStyle name="Currency 3" xfId="6" xr:uid="{00000000-0005-0000-0000-000005000000}"/>
    <cellStyle name="Currency 4" xfId="7" xr:uid="{00000000-0005-0000-0000-000006000000}"/>
    <cellStyle name="Hyperlink" xfId="8" builtinId="8"/>
    <cellStyle name="Normal" xfId="0" builtinId="0"/>
    <cellStyle name="Normal 2" xfId="9" xr:uid="{00000000-0005-0000-0000-000009000000}"/>
    <cellStyle name="Percent" xfId="10" builtinId="5"/>
    <cellStyle name="Percent 2" xfId="11" xr:uid="{00000000-0005-0000-0000-00000B000000}"/>
    <cellStyle name="Percent 3" xfId="12" xr:uid="{00000000-0005-0000-0000-00000C000000}"/>
    <cellStyle name="Percent 4" xfId="13" xr:uid="{00000000-0005-0000-0000-00000D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64"/>
  <sheetViews>
    <sheetView tabSelected="1" view="pageLayout" topLeftCell="B1" zoomScaleNormal="100" workbookViewId="0">
      <selection activeCell="B6" sqref="B6"/>
    </sheetView>
  </sheetViews>
  <sheetFormatPr defaultRowHeight="14.4" x14ac:dyDescent="0.3"/>
  <cols>
    <col min="1" max="1" width="3.6640625" bestFit="1" customWidth="1"/>
    <col min="2" max="2" width="34.109375" style="1" customWidth="1"/>
    <col min="3" max="3" width="22.44140625" style="1" customWidth="1"/>
    <col min="4" max="4" width="20.6640625" style="1" customWidth="1"/>
    <col min="5" max="5" width="15.5546875" bestFit="1" customWidth="1"/>
    <col min="6" max="6" width="14" bestFit="1" customWidth="1"/>
    <col min="7" max="7" width="13.33203125" bestFit="1" customWidth="1"/>
    <col min="8" max="9" width="13.33203125" customWidth="1"/>
    <col min="10" max="10" width="54.6640625" style="1" customWidth="1"/>
  </cols>
  <sheetData>
    <row r="2" spans="1:10" ht="18" x14ac:dyDescent="0.35">
      <c r="C2" s="51" t="s">
        <v>117</v>
      </c>
      <c r="D2" s="51" t="s">
        <v>107</v>
      </c>
      <c r="E2" s="10"/>
    </row>
    <row r="3" spans="1:10" ht="18" x14ac:dyDescent="0.35">
      <c r="C3" s="52"/>
      <c r="D3" s="52"/>
      <c r="E3" s="60"/>
      <c r="F3" s="60"/>
      <c r="H3" s="61"/>
      <c r="I3" s="61"/>
    </row>
    <row r="4" spans="1:10" ht="15.6" x14ac:dyDescent="0.3">
      <c r="C4" s="3"/>
      <c r="D4" s="3"/>
      <c r="E4" s="2"/>
      <c r="F4" s="2"/>
      <c r="G4" s="2"/>
      <c r="H4" s="62"/>
      <c r="I4" s="63"/>
      <c r="J4" s="3"/>
    </row>
    <row r="5" spans="1:10" ht="18" x14ac:dyDescent="0.35">
      <c r="B5" s="8" t="s">
        <v>0</v>
      </c>
      <c r="F5" s="64"/>
      <c r="G5" s="64"/>
      <c r="H5" s="65"/>
      <c r="I5" s="64"/>
    </row>
    <row r="6" spans="1:10" ht="19.5" customHeight="1" x14ac:dyDescent="0.3">
      <c r="A6" t="s">
        <v>10</v>
      </c>
      <c r="B6" s="1" t="s">
        <v>16</v>
      </c>
      <c r="C6" s="6"/>
      <c r="D6" s="6">
        <v>0</v>
      </c>
      <c r="E6" s="66"/>
      <c r="F6" s="66"/>
      <c r="G6" s="66"/>
      <c r="H6" s="66"/>
      <c r="I6" s="66"/>
    </row>
    <row r="7" spans="1:10" ht="17.25" customHeight="1" x14ac:dyDescent="0.3">
      <c r="A7" t="s">
        <v>6</v>
      </c>
      <c r="B7" s="1" t="s">
        <v>105</v>
      </c>
      <c r="C7" s="53">
        <f>SUM(C16:C17,C20:C24,C27:C29)</f>
        <v>125812.2625</v>
      </c>
      <c r="D7" s="53">
        <v>121680</v>
      </c>
      <c r="E7" s="66"/>
      <c r="F7" s="66"/>
      <c r="G7" s="66"/>
      <c r="H7" s="66"/>
      <c r="I7" s="66"/>
    </row>
    <row r="8" spans="1:10" x14ac:dyDescent="0.3">
      <c r="A8" t="s">
        <v>7</v>
      </c>
      <c r="B8" s="1" t="s">
        <v>15</v>
      </c>
      <c r="C8" s="6">
        <v>1618165</v>
      </c>
      <c r="D8" s="6">
        <v>1541110</v>
      </c>
      <c r="E8" s="66"/>
      <c r="F8" s="66"/>
      <c r="G8" s="66"/>
      <c r="H8" s="66"/>
      <c r="I8" s="66"/>
    </row>
    <row r="9" spans="1:10" x14ac:dyDescent="0.3">
      <c r="A9" t="s">
        <v>8</v>
      </c>
      <c r="B9" s="1" t="s">
        <v>86</v>
      </c>
      <c r="C9" s="109">
        <v>80000</v>
      </c>
      <c r="D9" s="6">
        <v>100000</v>
      </c>
      <c r="E9" s="66"/>
      <c r="F9" s="66"/>
      <c r="G9" s="66"/>
      <c r="H9" s="66"/>
      <c r="I9" s="66"/>
    </row>
    <row r="10" spans="1:10" ht="19.5" customHeight="1" x14ac:dyDescent="0.3">
      <c r="A10" t="s">
        <v>11</v>
      </c>
      <c r="B10" s="1" t="s">
        <v>1</v>
      </c>
      <c r="C10" s="6"/>
      <c r="D10" s="6">
        <v>0</v>
      </c>
      <c r="E10" s="66"/>
      <c r="F10" s="66"/>
      <c r="G10" s="66"/>
      <c r="H10" s="66"/>
      <c r="I10" s="66"/>
    </row>
    <row r="11" spans="1:10" x14ac:dyDescent="0.3">
      <c r="B11" s="4" t="s">
        <v>4</v>
      </c>
      <c r="C11" s="53">
        <f>SUM(C6:C10)</f>
        <v>1823977.2625</v>
      </c>
      <c r="D11" s="53">
        <f>SUM(D6:D10)</f>
        <v>1762790</v>
      </c>
      <c r="E11" s="66"/>
      <c r="F11" s="66"/>
      <c r="G11" s="66"/>
      <c r="H11" s="66"/>
      <c r="I11" s="66"/>
    </row>
    <row r="12" spans="1:10" ht="18" customHeight="1" x14ac:dyDescent="0.3">
      <c r="C12" s="6"/>
      <c r="D12" s="6"/>
      <c r="E12" s="58"/>
      <c r="F12" s="58"/>
      <c r="G12" s="58"/>
      <c r="H12" s="58"/>
      <c r="I12" s="58"/>
    </row>
    <row r="13" spans="1:10" ht="18" x14ac:dyDescent="0.35">
      <c r="A13" s="2"/>
      <c r="B13" s="8" t="s">
        <v>2</v>
      </c>
      <c r="C13" s="54"/>
      <c r="D13" s="54"/>
    </row>
    <row r="14" spans="1:10" ht="15.6" x14ac:dyDescent="0.3">
      <c r="A14" s="2"/>
      <c r="B14" s="3"/>
      <c r="C14" s="54"/>
      <c r="D14" s="54"/>
    </row>
    <row r="15" spans="1:10" s="2" customFormat="1" ht="15.6" x14ac:dyDescent="0.3">
      <c r="B15" s="7" t="s">
        <v>19</v>
      </c>
      <c r="C15" s="54"/>
      <c r="D15" s="54"/>
      <c r="G15" s="3"/>
      <c r="H15" s="3"/>
      <c r="J15" s="3"/>
    </row>
    <row r="16" spans="1:10" x14ac:dyDescent="0.3">
      <c r="A16" t="s">
        <v>10</v>
      </c>
      <c r="B16" s="1" t="s">
        <v>99</v>
      </c>
      <c r="C16" s="126">
        <v>86772.262499999997</v>
      </c>
      <c r="D16" s="101">
        <v>82640</v>
      </c>
      <c r="E16" s="66"/>
      <c r="F16" s="66"/>
      <c r="G16" s="68"/>
      <c r="H16" s="68"/>
      <c r="I16" s="68"/>
    </row>
    <row r="17" spans="1:10" ht="15" customHeight="1" x14ac:dyDescent="0.3">
      <c r="A17" t="s">
        <v>6</v>
      </c>
      <c r="B17" s="1" t="s">
        <v>9</v>
      </c>
      <c r="C17" s="55">
        <v>18000</v>
      </c>
      <c r="D17" s="55">
        <v>18000</v>
      </c>
      <c r="E17" s="66"/>
      <c r="F17" s="66"/>
      <c r="G17" s="68"/>
      <c r="H17" s="68"/>
      <c r="I17" s="68"/>
    </row>
    <row r="18" spans="1:10" x14ac:dyDescent="0.3">
      <c r="A18" t="s">
        <v>7</v>
      </c>
      <c r="B18" s="1" t="s">
        <v>18</v>
      </c>
      <c r="C18" s="6">
        <v>1618165</v>
      </c>
      <c r="D18" s="6">
        <v>1541110</v>
      </c>
      <c r="E18" s="66"/>
      <c r="F18" s="66"/>
      <c r="G18" s="68"/>
      <c r="H18" s="68"/>
      <c r="I18" s="68"/>
    </row>
    <row r="19" spans="1:10" x14ac:dyDescent="0.3">
      <c r="A19" t="s">
        <v>8</v>
      </c>
      <c r="B19" s="1" t="s">
        <v>86</v>
      </c>
      <c r="C19" s="109">
        <v>80000</v>
      </c>
      <c r="D19" s="109">
        <v>100000</v>
      </c>
      <c r="E19" s="66"/>
      <c r="F19" s="66"/>
      <c r="G19" s="68"/>
      <c r="H19" s="68"/>
      <c r="I19" s="68"/>
    </row>
    <row r="20" spans="1:10" x14ac:dyDescent="0.3">
      <c r="A20" t="s">
        <v>11</v>
      </c>
      <c r="B20" s="1" t="s">
        <v>132</v>
      </c>
      <c r="C20" s="53">
        <v>0</v>
      </c>
      <c r="D20" s="53">
        <v>0</v>
      </c>
      <c r="E20" s="66"/>
      <c r="F20" s="66"/>
      <c r="G20" s="68"/>
      <c r="H20" s="68"/>
      <c r="I20" s="68"/>
    </row>
    <row r="21" spans="1:10" x14ac:dyDescent="0.3">
      <c r="A21" t="s">
        <v>12</v>
      </c>
      <c r="B21" s="1" t="s">
        <v>108</v>
      </c>
      <c r="C21" s="53">
        <v>3750</v>
      </c>
      <c r="D21" s="53">
        <v>3750</v>
      </c>
      <c r="E21" s="66"/>
      <c r="F21" s="66"/>
      <c r="G21" s="68"/>
      <c r="H21" s="68"/>
      <c r="I21" s="68"/>
    </row>
    <row r="22" spans="1:10" s="2" customFormat="1" ht="15.6" x14ac:dyDescent="0.3">
      <c r="A22" t="s">
        <v>13</v>
      </c>
      <c r="B22" s="1" t="s">
        <v>3</v>
      </c>
      <c r="C22" s="125">
        <v>1040</v>
      </c>
      <c r="D22" s="55">
        <v>1040</v>
      </c>
      <c r="E22" s="67"/>
      <c r="G22" s="3"/>
      <c r="H22" s="3"/>
      <c r="J22" s="3"/>
    </row>
    <row r="23" spans="1:10" s="2" customFormat="1" ht="15.6" x14ac:dyDescent="0.3">
      <c r="A23" t="s">
        <v>14</v>
      </c>
      <c r="B23" s="1" t="s">
        <v>106</v>
      </c>
      <c r="C23" s="55">
        <v>1250</v>
      </c>
      <c r="D23" s="55">
        <v>1250</v>
      </c>
      <c r="E23" s="67"/>
      <c r="G23" s="3"/>
      <c r="H23" s="3"/>
      <c r="J23" s="3"/>
    </row>
    <row r="24" spans="1:10" s="2" customFormat="1" ht="15.6" x14ac:dyDescent="0.3">
      <c r="A24" t="s">
        <v>87</v>
      </c>
      <c r="B24" s="1" t="s">
        <v>112</v>
      </c>
      <c r="C24" s="55">
        <v>3000</v>
      </c>
      <c r="D24" s="55">
        <v>3000</v>
      </c>
      <c r="E24" s="67"/>
      <c r="G24" s="3"/>
      <c r="H24" s="3"/>
      <c r="J24" s="3"/>
    </row>
    <row r="25" spans="1:10" x14ac:dyDescent="0.3">
      <c r="C25" s="126"/>
      <c r="D25" s="53"/>
      <c r="E25" s="66"/>
      <c r="F25" s="66"/>
      <c r="G25" s="68"/>
      <c r="H25" s="68"/>
      <c r="I25" s="68"/>
    </row>
    <row r="26" spans="1:10" x14ac:dyDescent="0.3">
      <c r="B26" s="7" t="s">
        <v>128</v>
      </c>
      <c r="C26" s="126"/>
      <c r="D26" s="53"/>
      <c r="E26" s="66"/>
      <c r="F26" s="66"/>
      <c r="G26" s="68"/>
      <c r="H26" s="68"/>
      <c r="I26" s="68"/>
    </row>
    <row r="27" spans="1:10" x14ac:dyDescent="0.3">
      <c r="A27" t="s">
        <v>88</v>
      </c>
      <c r="B27" s="1" t="s">
        <v>17</v>
      </c>
      <c r="C27" s="125">
        <v>7000</v>
      </c>
      <c r="D27" s="55">
        <v>7000</v>
      </c>
      <c r="E27" s="66"/>
      <c r="F27" s="66"/>
      <c r="G27" s="68"/>
      <c r="H27" s="68"/>
      <c r="I27" s="68"/>
    </row>
    <row r="28" spans="1:10" ht="18" customHeight="1" x14ac:dyDescent="0.3">
      <c r="A28" t="s">
        <v>113</v>
      </c>
      <c r="B28" s="1" t="s">
        <v>100</v>
      </c>
      <c r="C28" s="116">
        <v>5000</v>
      </c>
      <c r="D28" s="56">
        <v>5000</v>
      </c>
      <c r="E28" s="66"/>
      <c r="F28" s="66"/>
      <c r="G28" s="68"/>
      <c r="H28" s="68"/>
      <c r="I28" s="68"/>
    </row>
    <row r="29" spans="1:10" ht="18" customHeight="1" x14ac:dyDescent="0.3">
      <c r="A29" t="s">
        <v>114</v>
      </c>
      <c r="B29" s="1" t="s">
        <v>5</v>
      </c>
      <c r="C29" s="6">
        <v>0</v>
      </c>
      <c r="D29" s="6">
        <v>0</v>
      </c>
      <c r="E29" s="66"/>
      <c r="F29" s="66"/>
      <c r="G29" s="68"/>
      <c r="H29" s="68"/>
      <c r="I29" s="68"/>
    </row>
    <row r="30" spans="1:10" ht="18" customHeight="1" x14ac:dyDescent="0.3">
      <c r="B30" s="5" t="s">
        <v>4</v>
      </c>
      <c r="C30" s="53">
        <f>SUM(C16:C29)</f>
        <v>1823977.2625</v>
      </c>
      <c r="D30" s="53">
        <f>SUM(D16:D29)</f>
        <v>1762790</v>
      </c>
      <c r="E30" s="66"/>
      <c r="F30" s="66"/>
      <c r="G30" s="68"/>
      <c r="H30" s="68"/>
      <c r="I30" s="68"/>
    </row>
    <row r="31" spans="1:10" ht="18" customHeight="1" x14ac:dyDescent="0.3">
      <c r="C31" s="57"/>
      <c r="D31" s="57"/>
      <c r="E31" s="66"/>
      <c r="F31" s="66"/>
      <c r="G31" s="68"/>
      <c r="H31" s="68"/>
      <c r="I31" s="68"/>
    </row>
    <row r="32" spans="1:10" ht="28.2" customHeight="1" x14ac:dyDescent="0.3">
      <c r="B32" s="144" t="s">
        <v>127</v>
      </c>
      <c r="C32" s="144"/>
      <c r="D32" s="124"/>
      <c r="E32" s="69"/>
      <c r="F32" s="66"/>
      <c r="G32" s="68"/>
      <c r="H32" s="68"/>
      <c r="I32" s="68"/>
    </row>
    <row r="33" spans="2:10" ht="48.6" customHeight="1" x14ac:dyDescent="0.3">
      <c r="B33" s="143" t="s">
        <v>135</v>
      </c>
      <c r="C33" s="143"/>
      <c r="D33" s="90"/>
      <c r="F33" s="34"/>
    </row>
    <row r="34" spans="2:10" ht="49.2" customHeight="1" x14ac:dyDescent="0.3">
      <c r="B34" s="140" t="s">
        <v>133</v>
      </c>
      <c r="C34" s="91"/>
      <c r="D34" s="90"/>
      <c r="E34" s="58"/>
    </row>
    <row r="43" spans="2:10" ht="15.6" x14ac:dyDescent="0.3">
      <c r="B43" s="3"/>
      <c r="J43"/>
    </row>
    <row r="46" spans="2:10" x14ac:dyDescent="0.3">
      <c r="C46" s="6"/>
      <c r="D46" s="6"/>
      <c r="J46"/>
    </row>
    <row r="47" spans="2:10" x14ac:dyDescent="0.3">
      <c r="C47" s="6"/>
      <c r="D47" s="6"/>
      <c r="J47"/>
    </row>
    <row r="48" spans="2:10" x14ac:dyDescent="0.3">
      <c r="C48" s="6"/>
      <c r="D48" s="6"/>
      <c r="J48"/>
    </row>
    <row r="49" spans="2:10" x14ac:dyDescent="0.3">
      <c r="B49"/>
      <c r="C49" s="6"/>
      <c r="D49" s="6"/>
      <c r="J49"/>
    </row>
    <row r="50" spans="2:10" x14ac:dyDescent="0.3">
      <c r="B50"/>
      <c r="C50" s="6"/>
      <c r="D50" s="6"/>
      <c r="J50"/>
    </row>
    <row r="51" spans="2:10" x14ac:dyDescent="0.3">
      <c r="B51"/>
      <c r="C51" s="6"/>
      <c r="D51" s="6"/>
      <c r="J51"/>
    </row>
    <row r="52" spans="2:10" x14ac:dyDescent="0.3">
      <c r="B52"/>
      <c r="C52" s="6"/>
      <c r="D52" s="6"/>
      <c r="J52"/>
    </row>
    <row r="53" spans="2:10" x14ac:dyDescent="0.3">
      <c r="B53"/>
      <c r="C53" s="6"/>
      <c r="D53" s="6"/>
      <c r="J53"/>
    </row>
    <row r="54" spans="2:10" x14ac:dyDescent="0.3">
      <c r="B54"/>
      <c r="C54" s="6"/>
      <c r="D54" s="6"/>
      <c r="J54"/>
    </row>
    <row r="55" spans="2:10" x14ac:dyDescent="0.3">
      <c r="B55"/>
      <c r="C55" s="6"/>
      <c r="D55" s="6"/>
      <c r="J55"/>
    </row>
    <row r="56" spans="2:10" x14ac:dyDescent="0.3">
      <c r="B56"/>
      <c r="C56" s="6"/>
      <c r="D56" s="6"/>
      <c r="J56"/>
    </row>
    <row r="57" spans="2:10" x14ac:dyDescent="0.3">
      <c r="B57"/>
      <c r="C57" s="6"/>
      <c r="D57" s="6"/>
      <c r="J57"/>
    </row>
    <row r="58" spans="2:10" x14ac:dyDescent="0.3">
      <c r="B58"/>
      <c r="C58" s="6"/>
      <c r="D58" s="6"/>
      <c r="J58"/>
    </row>
    <row r="59" spans="2:10" x14ac:dyDescent="0.3">
      <c r="B59"/>
      <c r="C59" s="6"/>
      <c r="D59" s="6"/>
      <c r="J59"/>
    </row>
    <row r="60" spans="2:10" x14ac:dyDescent="0.3">
      <c r="B60"/>
      <c r="C60" s="6"/>
      <c r="D60" s="6"/>
      <c r="J60"/>
    </row>
    <row r="61" spans="2:10" x14ac:dyDescent="0.3">
      <c r="B61"/>
      <c r="C61" s="6"/>
      <c r="D61" s="6"/>
      <c r="J61"/>
    </row>
    <row r="62" spans="2:10" x14ac:dyDescent="0.3">
      <c r="B62"/>
      <c r="C62" s="6"/>
      <c r="D62" s="6"/>
      <c r="J62"/>
    </row>
    <row r="64" spans="2:10" x14ac:dyDescent="0.3">
      <c r="B64"/>
      <c r="C64" s="6"/>
      <c r="D64" s="6"/>
      <c r="J64"/>
    </row>
  </sheetData>
  <mergeCells count="2">
    <mergeCell ref="B33:C33"/>
    <mergeCell ref="B32:C32"/>
  </mergeCells>
  <phoneticPr fontId="5" type="noConversion"/>
  <printOptions gridLines="1"/>
  <pageMargins left="0.25" right="0.25" top="0.75" bottom="0.75" header="0.3" footer="0.3"/>
  <pageSetup orientation="portrait" r:id="rId1"/>
  <headerFooter>
    <oddHeader>&amp;C&amp;"-,Bold"WPLC 2026 Budget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zoomScale="90" zoomScaleNormal="90" workbookViewId="0">
      <selection activeCell="C7" sqref="C7"/>
    </sheetView>
  </sheetViews>
  <sheetFormatPr defaultColWidth="9.33203125" defaultRowHeight="14.4" x14ac:dyDescent="0.3"/>
  <cols>
    <col min="1" max="1" width="55.33203125" style="1" customWidth="1"/>
    <col min="2" max="2" width="0" hidden="1" customWidth="1"/>
    <col min="3" max="3" width="19" bestFit="1" customWidth="1"/>
    <col min="4" max="4" width="15.33203125" customWidth="1"/>
    <col min="5" max="5" width="17.33203125" customWidth="1"/>
    <col min="6" max="6" width="19" bestFit="1" customWidth="1"/>
    <col min="7" max="7" width="18.33203125" customWidth="1"/>
    <col min="8" max="8" width="17.6640625" customWidth="1"/>
    <col min="9" max="9" width="13.44140625" customWidth="1"/>
  </cols>
  <sheetData>
    <row r="1" spans="1:9" x14ac:dyDescent="0.3">
      <c r="C1" s="29"/>
      <c r="D1" s="30">
        <v>2022</v>
      </c>
    </row>
    <row r="2" spans="1:9" ht="15" thickBot="1" x14ac:dyDescent="0.35">
      <c r="B2" s="10"/>
      <c r="C2" s="33"/>
      <c r="D2" s="31">
        <v>2021</v>
      </c>
    </row>
    <row r="3" spans="1:9" x14ac:dyDescent="0.3">
      <c r="B3" s="10"/>
      <c r="C3" s="1"/>
    </row>
    <row r="5" spans="1:9" x14ac:dyDescent="0.3">
      <c r="C5" s="45">
        <v>2022</v>
      </c>
      <c r="D5" s="45">
        <v>2022</v>
      </c>
      <c r="E5" s="45">
        <v>2022</v>
      </c>
      <c r="F5" s="45">
        <v>2021</v>
      </c>
      <c r="G5" s="45">
        <v>2021</v>
      </c>
      <c r="H5" s="45">
        <v>2021</v>
      </c>
      <c r="I5" s="10" t="s">
        <v>22</v>
      </c>
    </row>
    <row r="6" spans="1:9" x14ac:dyDescent="0.3">
      <c r="A6" s="18" t="s">
        <v>42</v>
      </c>
      <c r="B6" s="44"/>
      <c r="C6" s="37" t="s">
        <v>75</v>
      </c>
      <c r="D6" s="10" t="s">
        <v>76</v>
      </c>
      <c r="E6" s="10" t="s">
        <v>74</v>
      </c>
      <c r="F6" s="37" t="s">
        <v>75</v>
      </c>
      <c r="G6" s="10" t="s">
        <v>76</v>
      </c>
      <c r="H6" s="10" t="s">
        <v>74</v>
      </c>
      <c r="I6" s="10" t="s">
        <v>73</v>
      </c>
    </row>
    <row r="7" spans="1:9" x14ac:dyDescent="0.3">
      <c r="A7" s="20" t="s">
        <v>50</v>
      </c>
      <c r="B7" s="43"/>
      <c r="C7" s="50" t="e">
        <f>'Buying pool summary'!#REF!</f>
        <v>#REF!</v>
      </c>
      <c r="D7" s="47" t="e">
        <f>'Partner shares'!#REF!</f>
        <v>#REF!</v>
      </c>
      <c r="E7" s="47" t="e">
        <f t="shared" ref="E7:E22" si="0">SUM(C7:D7)</f>
        <v>#REF!</v>
      </c>
      <c r="F7" s="32" t="e">
        <f>'Buying pool summary'!#REF!</f>
        <v>#REF!</v>
      </c>
      <c r="G7" s="15" t="e">
        <f>'Partner shares'!#REF!</f>
        <v>#REF!</v>
      </c>
      <c r="H7" s="15" t="e">
        <f t="shared" ref="H7:H22" si="1">SUM(F7:G7)</f>
        <v>#REF!</v>
      </c>
      <c r="I7" s="14" t="e">
        <f t="shared" ref="I7:I22" si="2">E7-H7</f>
        <v>#REF!</v>
      </c>
    </row>
    <row r="8" spans="1:9" x14ac:dyDescent="0.3">
      <c r="A8" s="23" t="s">
        <v>51</v>
      </c>
      <c r="B8" s="43">
        <v>25542</v>
      </c>
      <c r="C8" s="50">
        <f>'Buying pool summary'!K7</f>
        <v>157800.33048484969</v>
      </c>
      <c r="D8" s="47">
        <f>'Partner shares'!C6</f>
        <v>8112</v>
      </c>
      <c r="E8" s="47">
        <f t="shared" si="0"/>
        <v>165912.33048484969</v>
      </c>
      <c r="F8" s="32">
        <f>'Buying pool summary'!L7</f>
        <v>149149.67676422553</v>
      </c>
      <c r="G8" s="15">
        <f>'Partner shares'!B6</f>
        <v>8387.4699999999993</v>
      </c>
      <c r="H8" s="15">
        <f t="shared" si="1"/>
        <v>157537.14676422553</v>
      </c>
      <c r="I8" s="14">
        <f t="shared" si="2"/>
        <v>8375.1837206241617</v>
      </c>
    </row>
    <row r="9" spans="1:9" x14ac:dyDescent="0.3">
      <c r="A9" s="20" t="s">
        <v>80</v>
      </c>
      <c r="B9" s="43"/>
      <c r="C9" s="50">
        <f>'Buying pool summary'!K8</f>
        <v>154029.37580933631</v>
      </c>
      <c r="D9" s="47">
        <f>'Partner shares'!C7</f>
        <v>8112</v>
      </c>
      <c r="E9" s="47">
        <f t="shared" si="0"/>
        <v>162141.37580933631</v>
      </c>
      <c r="F9" s="32">
        <f>'Buying pool summary'!L8</f>
        <v>145756.86489804066</v>
      </c>
      <c r="G9" s="15">
        <f>'Partner shares'!B7</f>
        <v>8387.4699999999993</v>
      </c>
      <c r="H9" s="15">
        <f t="shared" si="1"/>
        <v>154144.33489804066</v>
      </c>
      <c r="I9" s="14">
        <f t="shared" si="2"/>
        <v>7997.040911295655</v>
      </c>
    </row>
    <row r="10" spans="1:9" x14ac:dyDescent="0.3">
      <c r="A10" s="23" t="s">
        <v>52</v>
      </c>
      <c r="B10" s="43"/>
      <c r="C10" s="50">
        <f>'Buying pool summary'!K9</f>
        <v>37325.354134871399</v>
      </c>
      <c r="D10" s="47">
        <f>'Partner shares'!C8</f>
        <v>8112</v>
      </c>
      <c r="E10" s="47">
        <f t="shared" si="0"/>
        <v>45437.354134871399</v>
      </c>
      <c r="F10" s="32">
        <f>'Buying pool summary'!L9</f>
        <v>34276.366723031395</v>
      </c>
      <c r="G10" s="15">
        <f>'Partner shares'!B8</f>
        <v>8387.4699999999993</v>
      </c>
      <c r="H10" s="15">
        <f t="shared" si="1"/>
        <v>42663.836723031396</v>
      </c>
      <c r="I10" s="14">
        <f t="shared" si="2"/>
        <v>2773.5174118400028</v>
      </c>
    </row>
    <row r="11" spans="1:9" x14ac:dyDescent="0.3">
      <c r="A11" s="23" t="s">
        <v>53</v>
      </c>
      <c r="B11" s="43"/>
      <c r="C11" s="50" t="e">
        <f>'Buying pool summary'!#REF!</f>
        <v>#REF!</v>
      </c>
      <c r="D11" s="47" t="e">
        <f>'Partner shares'!#REF!</f>
        <v>#REF!</v>
      </c>
      <c r="E11" s="47" t="e">
        <f t="shared" si="0"/>
        <v>#REF!</v>
      </c>
      <c r="F11" s="32" t="e">
        <f>'Buying pool summary'!#REF!</f>
        <v>#REF!</v>
      </c>
      <c r="G11" s="15" t="e">
        <f>'Partner shares'!#REF!</f>
        <v>#REF!</v>
      </c>
      <c r="H11" s="15" t="e">
        <f t="shared" si="1"/>
        <v>#REF!</v>
      </c>
      <c r="I11" s="14" t="e">
        <f t="shared" si="2"/>
        <v>#REF!</v>
      </c>
    </row>
    <row r="12" spans="1:9" x14ac:dyDescent="0.3">
      <c r="A12" s="23" t="s">
        <v>54</v>
      </c>
      <c r="B12" s="43"/>
      <c r="C12" s="50">
        <f>'Buying pool summary'!K10</f>
        <v>24481.151564490909</v>
      </c>
      <c r="D12" s="47">
        <f>'Partner shares'!C9</f>
        <v>8112</v>
      </c>
      <c r="E12" s="47">
        <f t="shared" si="0"/>
        <v>32593.151564490909</v>
      </c>
      <c r="F12" s="32">
        <f>'Buying pool summary'!L10</f>
        <v>23143.515680820721</v>
      </c>
      <c r="G12" s="15">
        <f>'Partner shares'!B9</f>
        <v>8387.4699999999993</v>
      </c>
      <c r="H12" s="15">
        <f t="shared" si="1"/>
        <v>31530.985680820719</v>
      </c>
      <c r="I12" s="14">
        <f t="shared" si="2"/>
        <v>1062.1658836701899</v>
      </c>
    </row>
    <row r="13" spans="1:9" x14ac:dyDescent="0.3">
      <c r="A13" s="23" t="s">
        <v>55</v>
      </c>
      <c r="B13" s="43"/>
      <c r="C13" s="50">
        <f>'Buying pool summary'!K11</f>
        <v>180286.36937317927</v>
      </c>
      <c r="D13" s="47">
        <f>'Partner shares'!C10</f>
        <v>8112</v>
      </c>
      <c r="E13" s="47">
        <f t="shared" si="0"/>
        <v>188398.36937317927</v>
      </c>
      <c r="F13" s="32">
        <f>'Buying pool summary'!L11</f>
        <v>172740.8995531254</v>
      </c>
      <c r="G13" s="15">
        <f>'Partner shares'!B10</f>
        <v>8387.4699999999993</v>
      </c>
      <c r="H13" s="15">
        <f t="shared" si="1"/>
        <v>181128.36955312541</v>
      </c>
      <c r="I13" s="14">
        <f t="shared" si="2"/>
        <v>7269.9998200538685</v>
      </c>
    </row>
    <row r="14" spans="1:9" x14ac:dyDescent="0.3">
      <c r="A14" s="20" t="s">
        <v>56</v>
      </c>
      <c r="B14" s="43"/>
      <c r="C14" s="50">
        <f>'Buying pool summary'!K12</f>
        <v>117131.70269625357</v>
      </c>
      <c r="D14" s="47">
        <f>'Partner shares'!C11</f>
        <v>8112</v>
      </c>
      <c r="E14" s="47">
        <f t="shared" si="0"/>
        <v>125243.70269625357</v>
      </c>
      <c r="F14" s="32">
        <f>'Buying pool summary'!L12</f>
        <v>112252.55313883907</v>
      </c>
      <c r="G14" s="15">
        <f>'Partner shares'!B11</f>
        <v>8387.4699999999993</v>
      </c>
      <c r="H14" s="15">
        <f t="shared" si="1"/>
        <v>120640.02313883907</v>
      </c>
      <c r="I14" s="14">
        <f t="shared" si="2"/>
        <v>4603.6795574145071</v>
      </c>
    </row>
    <row r="15" spans="1:9" x14ac:dyDescent="0.3">
      <c r="A15" s="23" t="s">
        <v>72</v>
      </c>
      <c r="B15" s="43" t="e">
        <f>SUM(#REF!)</f>
        <v>#REF!</v>
      </c>
      <c r="C15" s="50">
        <f>'Buying pool summary'!K13</f>
        <v>111853.17029905257</v>
      </c>
      <c r="D15" s="47">
        <f>'Partner shares'!C12</f>
        <v>8112</v>
      </c>
      <c r="E15" s="47">
        <f t="shared" si="0"/>
        <v>119965.17029905257</v>
      </c>
      <c r="F15" s="32">
        <f>'Buying pool summary'!L13</f>
        <v>108554.01189135559</v>
      </c>
      <c r="G15" s="15">
        <f>'Partner shares'!B12</f>
        <v>8387.4699999999993</v>
      </c>
      <c r="H15" s="15">
        <f t="shared" si="1"/>
        <v>116941.48189135559</v>
      </c>
      <c r="I15" s="14">
        <f t="shared" si="2"/>
        <v>3023.6884076969727</v>
      </c>
    </row>
    <row r="16" spans="1:9" x14ac:dyDescent="0.3">
      <c r="A16" s="23" t="s">
        <v>58</v>
      </c>
      <c r="B16" s="43"/>
      <c r="C16" s="50">
        <f>'Buying pool summary'!K14</f>
        <v>52317.66415318496</v>
      </c>
      <c r="D16" s="47">
        <f>'Partner shares'!C13</f>
        <v>8112</v>
      </c>
      <c r="E16" s="47">
        <f t="shared" si="0"/>
        <v>60429.66415318496</v>
      </c>
      <c r="F16" s="32">
        <f>'Buying pool summary'!L14</f>
        <v>49720.228486707048</v>
      </c>
      <c r="G16" s="15">
        <f>'Partner shares'!B13</f>
        <v>8387.4699999999993</v>
      </c>
      <c r="H16" s="15">
        <f t="shared" si="1"/>
        <v>58107.69848670705</v>
      </c>
      <c r="I16" s="14">
        <f t="shared" si="2"/>
        <v>2321.9656664779104</v>
      </c>
    </row>
    <row r="17" spans="1:9" x14ac:dyDescent="0.3">
      <c r="A17" s="23" t="s">
        <v>71</v>
      </c>
      <c r="B17" s="43"/>
      <c r="C17" s="50">
        <f>'Buying pool summary'!K15</f>
        <v>63712.131863268522</v>
      </c>
      <c r="D17" s="47">
        <f>'Partner shares'!C14</f>
        <v>8112</v>
      </c>
      <c r="E17" s="47">
        <f t="shared" si="0"/>
        <v>71824.131863268529</v>
      </c>
      <c r="F17" s="32">
        <f>'Buying pool summary'!L15</f>
        <v>59543.442956067061</v>
      </c>
      <c r="G17" s="15">
        <f>'Partner shares'!B14</f>
        <v>8387.4699999999993</v>
      </c>
      <c r="H17" s="15">
        <f t="shared" si="1"/>
        <v>67930.912956067055</v>
      </c>
      <c r="I17" s="14">
        <f t="shared" si="2"/>
        <v>3893.2189072014735</v>
      </c>
    </row>
    <row r="18" spans="1:9" x14ac:dyDescent="0.3">
      <c r="A18" s="23" t="s">
        <v>60</v>
      </c>
      <c r="B18" s="43"/>
      <c r="C18" s="50">
        <f>'Buying pool summary'!K17</f>
        <v>351737.30929419579</v>
      </c>
      <c r="D18" s="47">
        <f>'Partner shares'!C16</f>
        <v>8112</v>
      </c>
      <c r="E18" s="47">
        <f t="shared" si="0"/>
        <v>359849.30929419579</v>
      </c>
      <c r="F18" s="32">
        <f>'Buying pool summary'!L17</f>
        <v>334269.70436181268</v>
      </c>
      <c r="G18" s="15">
        <f>'Partner shares'!B16</f>
        <v>8387.4699999999993</v>
      </c>
      <c r="H18" s="15">
        <f t="shared" si="1"/>
        <v>342657.17436181265</v>
      </c>
      <c r="I18" s="14">
        <f t="shared" si="2"/>
        <v>17192.134932383138</v>
      </c>
    </row>
    <row r="19" spans="1:9" x14ac:dyDescent="0.3">
      <c r="A19" s="23" t="s">
        <v>61</v>
      </c>
      <c r="B19" s="43"/>
      <c r="C19" s="50">
        <f>'Buying pool summary'!K18</f>
        <v>32957.530059289391</v>
      </c>
      <c r="D19" s="47">
        <f>'Partner shares'!C17</f>
        <v>8112</v>
      </c>
      <c r="E19" s="47">
        <f t="shared" si="0"/>
        <v>41069.530059289391</v>
      </c>
      <c r="F19" s="32">
        <f>'Buying pool summary'!L18</f>
        <v>31353.589145778758</v>
      </c>
      <c r="G19" s="15">
        <f>'Partner shares'!B17</f>
        <v>8387.4699999999993</v>
      </c>
      <c r="H19" s="15">
        <f t="shared" si="1"/>
        <v>39741.05914577876</v>
      </c>
      <c r="I19" s="14">
        <f t="shared" si="2"/>
        <v>1328.4709135106314</v>
      </c>
    </row>
    <row r="20" spans="1:9" x14ac:dyDescent="0.3">
      <c r="A20" s="23" t="s">
        <v>62</v>
      </c>
      <c r="B20" s="43"/>
      <c r="C20" s="50">
        <f>'Buying pool summary'!K19</f>
        <v>80405.656691063283</v>
      </c>
      <c r="D20" s="47">
        <f>'Partner shares'!C18</f>
        <v>8112</v>
      </c>
      <c r="E20" s="47">
        <f t="shared" si="0"/>
        <v>88517.656691063283</v>
      </c>
      <c r="F20" s="32">
        <f>'Buying pool summary'!L19</f>
        <v>78240.30386691507</v>
      </c>
      <c r="G20" s="15">
        <f>'Partner shares'!B18</f>
        <v>8387.4699999999993</v>
      </c>
      <c r="H20" s="15">
        <f t="shared" si="1"/>
        <v>86627.773866915071</v>
      </c>
      <c r="I20" s="14">
        <f t="shared" si="2"/>
        <v>1889.8828241482115</v>
      </c>
    </row>
    <row r="21" spans="1:9" x14ac:dyDescent="0.3">
      <c r="A21" s="23" t="s">
        <v>63</v>
      </c>
      <c r="B21" s="43"/>
      <c r="C21" s="50">
        <f>'Buying pool summary'!K20</f>
        <v>83930.345418695942</v>
      </c>
      <c r="D21" s="47">
        <f>'Partner shares'!C19</f>
        <v>8112</v>
      </c>
      <c r="E21" s="47">
        <f t="shared" si="0"/>
        <v>92042.345418695942</v>
      </c>
      <c r="F21" s="32">
        <f>'Buying pool summary'!L20</f>
        <v>78460.525781572345</v>
      </c>
      <c r="G21" s="15">
        <f>'Partner shares'!B19</f>
        <v>8387.4699999999993</v>
      </c>
      <c r="H21" s="15">
        <f t="shared" si="1"/>
        <v>86847.995781572346</v>
      </c>
      <c r="I21" s="14">
        <f t="shared" si="2"/>
        <v>5194.349637123596</v>
      </c>
    </row>
    <row r="22" spans="1:9" ht="16.5" customHeight="1" x14ac:dyDescent="0.3">
      <c r="A22" s="24" t="s">
        <v>70</v>
      </c>
      <c r="B22" s="42" t="e">
        <f>SUM(#REF!)</f>
        <v>#REF!</v>
      </c>
      <c r="C22" s="50">
        <f>'Buying pool summary'!K21</f>
        <v>77101.772117126093</v>
      </c>
      <c r="D22" s="47">
        <f>'Partner shares'!C20</f>
        <v>8112</v>
      </c>
      <c r="E22" s="47">
        <f t="shared" si="0"/>
        <v>85213.772117126093</v>
      </c>
      <c r="F22" s="32">
        <f>'Buying pool summary'!L21</f>
        <v>73397.213125755326</v>
      </c>
      <c r="G22" s="15">
        <f>'Partner shares'!B20</f>
        <v>8387.4699999999993</v>
      </c>
      <c r="H22" s="15">
        <f t="shared" si="1"/>
        <v>81784.683125755328</v>
      </c>
      <c r="I22" s="14">
        <f t="shared" si="2"/>
        <v>3429.0889913707651</v>
      </c>
    </row>
    <row r="23" spans="1:9" x14ac:dyDescent="0.3">
      <c r="C23" s="14" t="e">
        <f t="shared" ref="C23:H23" si="3">SUM(C7:C22)</f>
        <v>#REF!</v>
      </c>
      <c r="D23" s="14" t="e">
        <f t="shared" si="3"/>
        <v>#REF!</v>
      </c>
      <c r="E23" s="14" t="e">
        <f t="shared" si="3"/>
        <v>#REF!</v>
      </c>
      <c r="F23" s="14" t="e">
        <f t="shared" si="3"/>
        <v>#REF!</v>
      </c>
      <c r="G23" s="14" t="e">
        <f t="shared" si="3"/>
        <v>#REF!</v>
      </c>
      <c r="H23" s="14" t="e">
        <f t="shared" si="3"/>
        <v>#REF!</v>
      </c>
      <c r="I23" s="14"/>
    </row>
  </sheetData>
  <sheetProtection algorithmName="SHA-512" hashValue="OYc1D4NZwFfFNjKXuhuhj28hFJNwsGYHzLAk64wNxAUQHssz4/ETDNMJ0RXe68W36vDkHrjualwZfNZJk73q2w==" saltValue="AjZ/VNS+Y1fVVvpNnFeWOg==" spinCount="100000" sheet="1" objects="1" scenarios="1"/>
  <pageMargins left="0.7" right="0.7" top="0.75" bottom="0.75" header="0.3" footer="0.3"/>
  <pageSetup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1"/>
  <sheetViews>
    <sheetView workbookViewId="0">
      <selection activeCell="A30" sqref="A30"/>
    </sheetView>
  </sheetViews>
  <sheetFormatPr defaultColWidth="9.33203125" defaultRowHeight="14.4" x14ac:dyDescent="0.3"/>
  <cols>
    <col min="1" max="1" width="39.5546875" bestFit="1" customWidth="1"/>
    <col min="2" max="2" width="22.33203125" bestFit="1" customWidth="1"/>
    <col min="3" max="4" width="18.33203125" bestFit="1" customWidth="1"/>
    <col min="5" max="5" width="16.33203125" customWidth="1"/>
    <col min="6" max="6" width="14" customWidth="1"/>
  </cols>
  <sheetData>
    <row r="1" spans="1:5" x14ac:dyDescent="0.3">
      <c r="A1" s="7" t="s">
        <v>20</v>
      </c>
      <c r="B1" s="9">
        <f>'2026 budget'!C7</f>
        <v>125812.2625</v>
      </c>
    </row>
    <row r="2" spans="1:5" x14ac:dyDescent="0.3">
      <c r="A2" s="10" t="s">
        <v>134</v>
      </c>
      <c r="B2" s="11">
        <v>8387.4699999999993</v>
      </c>
    </row>
    <row r="5" spans="1:5" x14ac:dyDescent="0.3">
      <c r="A5" s="10" t="s">
        <v>21</v>
      </c>
      <c r="B5" s="95" t="s">
        <v>136</v>
      </c>
      <c r="C5" s="46" t="s">
        <v>110</v>
      </c>
      <c r="D5" s="10" t="s">
        <v>22</v>
      </c>
    </row>
    <row r="6" spans="1:5" x14ac:dyDescent="0.3">
      <c r="A6" t="s">
        <v>23</v>
      </c>
      <c r="B6" s="141">
        <f t="shared" ref="B6:B20" si="0">$B$2</f>
        <v>8387.4699999999993</v>
      </c>
      <c r="C6" s="47">
        <v>8112</v>
      </c>
      <c r="D6" s="11">
        <f>B6-C6</f>
        <v>275.46999999999935</v>
      </c>
      <c r="E6" s="12"/>
    </row>
    <row r="7" spans="1:5" x14ac:dyDescent="0.3">
      <c r="A7" t="s">
        <v>79</v>
      </c>
      <c r="B7" s="141">
        <f t="shared" si="0"/>
        <v>8387.4699999999993</v>
      </c>
      <c r="C7" s="47">
        <v>8112</v>
      </c>
      <c r="D7" s="11">
        <f t="shared" ref="D7:D20" si="1">B7-C7</f>
        <v>275.46999999999935</v>
      </c>
      <c r="E7" s="12"/>
    </row>
    <row r="8" spans="1:5" x14ac:dyDescent="0.3">
      <c r="A8" t="s">
        <v>24</v>
      </c>
      <c r="B8" s="141">
        <f t="shared" si="0"/>
        <v>8387.4699999999993</v>
      </c>
      <c r="C8" s="47">
        <v>8112</v>
      </c>
      <c r="D8" s="11">
        <f t="shared" si="1"/>
        <v>275.46999999999935</v>
      </c>
      <c r="E8" s="12"/>
    </row>
    <row r="9" spans="1:5" x14ac:dyDescent="0.3">
      <c r="A9" t="s">
        <v>25</v>
      </c>
      <c r="B9" s="141">
        <f t="shared" si="0"/>
        <v>8387.4699999999993</v>
      </c>
      <c r="C9" s="47">
        <v>8112</v>
      </c>
      <c r="D9" s="11">
        <f t="shared" si="1"/>
        <v>275.46999999999935</v>
      </c>
      <c r="E9" s="12"/>
    </row>
    <row r="10" spans="1:5" x14ac:dyDescent="0.3">
      <c r="A10" t="s">
        <v>26</v>
      </c>
      <c r="B10" s="141">
        <f t="shared" si="0"/>
        <v>8387.4699999999993</v>
      </c>
      <c r="C10" s="47">
        <v>8112</v>
      </c>
      <c r="D10" s="11">
        <f t="shared" si="1"/>
        <v>275.46999999999935</v>
      </c>
      <c r="E10" s="12"/>
    </row>
    <row r="11" spans="1:5" x14ac:dyDescent="0.3">
      <c r="A11" t="s">
        <v>27</v>
      </c>
      <c r="B11" s="141">
        <f t="shared" si="0"/>
        <v>8387.4699999999993</v>
      </c>
      <c r="C11" s="47">
        <v>8112</v>
      </c>
      <c r="D11" s="11">
        <f t="shared" si="1"/>
        <v>275.46999999999935</v>
      </c>
      <c r="E11" s="12"/>
    </row>
    <row r="12" spans="1:5" x14ac:dyDescent="0.3">
      <c r="A12" t="s">
        <v>28</v>
      </c>
      <c r="B12" s="141">
        <f t="shared" si="0"/>
        <v>8387.4699999999993</v>
      </c>
      <c r="C12" s="47">
        <v>8112</v>
      </c>
      <c r="D12" s="11">
        <f t="shared" si="1"/>
        <v>275.46999999999935</v>
      </c>
      <c r="E12" s="12"/>
    </row>
    <row r="13" spans="1:5" x14ac:dyDescent="0.3">
      <c r="A13" t="s">
        <v>29</v>
      </c>
      <c r="B13" s="141">
        <f t="shared" si="0"/>
        <v>8387.4699999999993</v>
      </c>
      <c r="C13" s="47">
        <v>8112</v>
      </c>
      <c r="D13" s="11">
        <f t="shared" si="1"/>
        <v>275.46999999999935</v>
      </c>
      <c r="E13" s="12"/>
    </row>
    <row r="14" spans="1:5" x14ac:dyDescent="0.3">
      <c r="A14" t="s">
        <v>30</v>
      </c>
      <c r="B14" s="141">
        <f t="shared" si="0"/>
        <v>8387.4699999999993</v>
      </c>
      <c r="C14" s="47">
        <v>8112</v>
      </c>
      <c r="D14" s="11">
        <f t="shared" si="1"/>
        <v>275.46999999999935</v>
      </c>
      <c r="E14" s="12"/>
    </row>
    <row r="15" spans="1:5" x14ac:dyDescent="0.3">
      <c r="A15" t="s">
        <v>118</v>
      </c>
      <c r="B15" s="141">
        <f t="shared" si="0"/>
        <v>8387.4699999999993</v>
      </c>
      <c r="C15" s="47">
        <v>8112</v>
      </c>
      <c r="D15" s="11">
        <f t="shared" si="1"/>
        <v>275.46999999999935</v>
      </c>
      <c r="E15" s="110"/>
    </row>
    <row r="16" spans="1:5" x14ac:dyDescent="0.3">
      <c r="A16" t="s">
        <v>31</v>
      </c>
      <c r="B16" s="141">
        <f t="shared" si="0"/>
        <v>8387.4699999999993</v>
      </c>
      <c r="C16" s="47">
        <v>8112</v>
      </c>
      <c r="D16" s="11">
        <f t="shared" si="1"/>
        <v>275.46999999999935</v>
      </c>
      <c r="E16" s="12"/>
    </row>
    <row r="17" spans="1:10" x14ac:dyDescent="0.3">
      <c r="A17" t="s">
        <v>32</v>
      </c>
      <c r="B17" s="141">
        <f t="shared" si="0"/>
        <v>8387.4699999999993</v>
      </c>
      <c r="C17" s="47">
        <v>8112</v>
      </c>
      <c r="D17" s="11">
        <f t="shared" si="1"/>
        <v>275.46999999999935</v>
      </c>
      <c r="E17" s="12"/>
    </row>
    <row r="18" spans="1:10" x14ac:dyDescent="0.3">
      <c r="A18" t="s">
        <v>33</v>
      </c>
      <c r="B18" s="141">
        <f t="shared" si="0"/>
        <v>8387.4699999999993</v>
      </c>
      <c r="C18" s="47">
        <v>8112</v>
      </c>
      <c r="D18" s="11">
        <f t="shared" si="1"/>
        <v>275.46999999999935</v>
      </c>
      <c r="E18" s="12"/>
    </row>
    <row r="19" spans="1:10" x14ac:dyDescent="0.3">
      <c r="A19" t="s">
        <v>34</v>
      </c>
      <c r="B19" s="141">
        <f t="shared" si="0"/>
        <v>8387.4699999999993</v>
      </c>
      <c r="C19" s="47">
        <v>8112</v>
      </c>
      <c r="D19" s="11">
        <f t="shared" si="1"/>
        <v>275.46999999999935</v>
      </c>
      <c r="E19" s="12"/>
      <c r="J19" s="10"/>
    </row>
    <row r="20" spans="1:10" x14ac:dyDescent="0.3">
      <c r="A20" t="s">
        <v>35</v>
      </c>
      <c r="B20" s="141">
        <f t="shared" si="0"/>
        <v>8387.4699999999993</v>
      </c>
      <c r="C20" s="47">
        <v>8112</v>
      </c>
      <c r="D20" s="11">
        <f t="shared" si="1"/>
        <v>275.46999999999935</v>
      </c>
      <c r="E20" s="12"/>
    </row>
    <row r="21" spans="1:10" s="10" customFormat="1" x14ac:dyDescent="0.3">
      <c r="A21" s="10" t="s">
        <v>36</v>
      </c>
      <c r="B21" s="96">
        <f>SUM(B6:B20)</f>
        <v>125812.05</v>
      </c>
      <c r="C21" s="59">
        <f>SUM(C6:C20)</f>
        <v>121680</v>
      </c>
      <c r="D21" s="13">
        <f>SUM(D6:D20)</f>
        <v>4132.0499999999902</v>
      </c>
      <c r="J21"/>
    </row>
  </sheetData>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41"/>
  <sheetViews>
    <sheetView topLeftCell="C1" zoomScaleNormal="100" workbookViewId="0">
      <selection activeCell="K7" sqref="K7:K21"/>
    </sheetView>
  </sheetViews>
  <sheetFormatPr defaultColWidth="9.33203125" defaultRowHeight="14.4" x14ac:dyDescent="0.3"/>
  <cols>
    <col min="1" max="1" width="38.44140625" style="1" customWidth="1"/>
    <col min="2" max="2" width="11.6640625" style="71" customWidth="1"/>
    <col min="3" max="3" width="9.6640625" style="71" customWidth="1"/>
    <col min="4" max="4" width="13.6640625" customWidth="1"/>
    <col min="5" max="6" width="15.33203125" customWidth="1"/>
    <col min="7" max="7" width="17.6640625" customWidth="1"/>
    <col min="8" max="8" width="15.44140625" customWidth="1"/>
    <col min="9" max="9" width="16.5546875" customWidth="1"/>
    <col min="10" max="10" width="22.6640625" bestFit="1" customWidth="1"/>
    <col min="11" max="11" width="26.6640625" customWidth="1"/>
    <col min="12" max="12" width="11.5546875" bestFit="1" customWidth="1"/>
    <col min="13" max="13" width="10.5546875" bestFit="1" customWidth="1"/>
  </cols>
  <sheetData>
    <row r="2" spans="1:15" x14ac:dyDescent="0.3">
      <c r="D2" s="34"/>
      <c r="G2" s="10" t="s">
        <v>37</v>
      </c>
      <c r="H2" s="70">
        <v>1460665</v>
      </c>
      <c r="I2" t="s">
        <v>38</v>
      </c>
    </row>
    <row r="3" spans="1:15" x14ac:dyDescent="0.3">
      <c r="D3" s="34"/>
      <c r="E3" s="71"/>
      <c r="G3" s="10" t="s">
        <v>39</v>
      </c>
      <c r="H3" s="70">
        <v>157500</v>
      </c>
      <c r="I3" t="s">
        <v>40</v>
      </c>
    </row>
    <row r="4" spans="1:15" x14ac:dyDescent="0.3">
      <c r="D4" s="71"/>
      <c r="E4" s="71"/>
      <c r="G4" s="87" t="s">
        <v>74</v>
      </c>
      <c r="H4" s="88">
        <f>SUM(H2:H3)</f>
        <v>1618165</v>
      </c>
    </row>
    <row r="5" spans="1:15" x14ac:dyDescent="0.3">
      <c r="B5" s="40">
        <v>2024</v>
      </c>
      <c r="C5" s="40">
        <v>2024</v>
      </c>
      <c r="D5" s="40">
        <v>2023</v>
      </c>
      <c r="E5" s="40">
        <v>2023</v>
      </c>
      <c r="F5" s="16" t="s">
        <v>37</v>
      </c>
      <c r="G5" s="10" t="s">
        <v>41</v>
      </c>
      <c r="H5" s="40">
        <v>2024</v>
      </c>
      <c r="I5" s="40">
        <v>2024</v>
      </c>
      <c r="J5" s="10" t="s">
        <v>39</v>
      </c>
      <c r="K5" s="102">
        <v>2026</v>
      </c>
      <c r="L5" s="17">
        <v>2025</v>
      </c>
    </row>
    <row r="6" spans="1:15" x14ac:dyDescent="0.3">
      <c r="A6" s="27"/>
      <c r="B6" s="105" t="s">
        <v>101</v>
      </c>
      <c r="C6" s="105" t="s">
        <v>44</v>
      </c>
      <c r="D6" s="105" t="s">
        <v>81</v>
      </c>
      <c r="E6" s="105" t="s">
        <v>45</v>
      </c>
      <c r="F6" s="19" t="s">
        <v>68</v>
      </c>
      <c r="G6" s="37" t="s">
        <v>46</v>
      </c>
      <c r="H6" s="130" t="s">
        <v>47</v>
      </c>
      <c r="I6" s="105" t="s">
        <v>48</v>
      </c>
      <c r="J6" s="19" t="s">
        <v>49</v>
      </c>
      <c r="K6" s="103" t="s">
        <v>78</v>
      </c>
      <c r="L6" s="38" t="s">
        <v>77</v>
      </c>
      <c r="M6" s="39" t="s">
        <v>69</v>
      </c>
    </row>
    <row r="7" spans="1:15" x14ac:dyDescent="0.3">
      <c r="A7" s="28" t="s">
        <v>51</v>
      </c>
      <c r="B7" s="119">
        <v>803404</v>
      </c>
      <c r="C7" s="106">
        <f t="shared" ref="C7:C21" si="0">B7/$B$22</f>
        <v>9.9362175676992667E-2</v>
      </c>
      <c r="D7">
        <v>517981</v>
      </c>
      <c r="E7" s="25">
        <f t="shared" ref="E7:E15" si="1">D7/$D$22</f>
        <v>8.7035151392949553E-2</v>
      </c>
      <c r="F7" s="48">
        <f t="shared" ref="F7:F21" si="2">(($C7*3)+$E7)/4</f>
        <v>9.6280419605981882E-2</v>
      </c>
      <c r="G7" s="21">
        <f>((C7*3)+E7)/4*$H$2</f>
        <v>140633.43910377152</v>
      </c>
      <c r="H7" s="118">
        <v>483992</v>
      </c>
      <c r="I7" s="131">
        <f t="shared" ref="I7:I21" si="3">H7/$H$22</f>
        <v>0.10899613575287735</v>
      </c>
      <c r="J7" s="21">
        <f t="shared" ref="J7:J21" si="4">I7*$H$3</f>
        <v>17166.891381078181</v>
      </c>
      <c r="K7" s="104">
        <f t="shared" ref="K7:K21" si="5">G7+J7</f>
        <v>157800.33048484969</v>
      </c>
      <c r="L7" s="117">
        <v>149149.67676422553</v>
      </c>
      <c r="M7" s="41">
        <f>K7-L7</f>
        <v>8650.6537206241628</v>
      </c>
      <c r="O7" s="22"/>
    </row>
    <row r="8" spans="1:15" x14ac:dyDescent="0.3">
      <c r="A8" s="1" t="s">
        <v>80</v>
      </c>
      <c r="B8" s="119">
        <v>801292</v>
      </c>
      <c r="C8" s="106">
        <f t="shared" si="0"/>
        <v>9.9100970959279278E-2</v>
      </c>
      <c r="D8">
        <v>488287</v>
      </c>
      <c r="E8" s="25">
        <f t="shared" si="1"/>
        <v>8.2045737137480257E-2</v>
      </c>
      <c r="F8" s="48">
        <f t="shared" si="2"/>
        <v>9.4837162503829522E-2</v>
      </c>
      <c r="G8" s="21">
        <f t="shared" ref="G8:G21" si="6">((C8*3)+E8)/4*$H$2</f>
        <v>138525.32396865616</v>
      </c>
      <c r="H8" s="118">
        <v>437111</v>
      </c>
      <c r="I8" s="131">
        <f t="shared" si="3"/>
        <v>9.843842438527077E-2</v>
      </c>
      <c r="J8" s="21">
        <f t="shared" si="4"/>
        <v>15504.051840680146</v>
      </c>
      <c r="K8" s="104">
        <f t="shared" si="5"/>
        <v>154029.37580933631</v>
      </c>
      <c r="L8" s="117">
        <v>145756.86489804066</v>
      </c>
      <c r="M8" s="41">
        <f t="shared" ref="M8:M21" si="7">K8-L8</f>
        <v>8272.5109112956561</v>
      </c>
      <c r="O8" s="34"/>
    </row>
    <row r="9" spans="1:15" x14ac:dyDescent="0.3">
      <c r="A9" s="28" t="s">
        <v>52</v>
      </c>
      <c r="B9" s="119">
        <v>173023</v>
      </c>
      <c r="C9" s="106">
        <f t="shared" si="0"/>
        <v>2.1398874939831395E-2</v>
      </c>
      <c r="D9">
        <v>170238</v>
      </c>
      <c r="E9" s="25">
        <f t="shared" si="1"/>
        <v>2.860469805423934E-2</v>
      </c>
      <c r="F9" s="48">
        <f t="shared" si="2"/>
        <v>2.320033071843338E-2</v>
      </c>
      <c r="G9" s="21">
        <f t="shared" si="6"/>
        <v>33887.911068840491</v>
      </c>
      <c r="H9" s="118">
        <v>96913</v>
      </c>
      <c r="I9" s="131">
        <f t="shared" si="3"/>
        <v>2.1825035339878764E-2</v>
      </c>
      <c r="J9" s="21">
        <f t="shared" si="4"/>
        <v>3437.4430660309054</v>
      </c>
      <c r="K9" s="104">
        <f t="shared" si="5"/>
        <v>37325.354134871399</v>
      </c>
      <c r="L9" s="117">
        <v>34276.366723031395</v>
      </c>
      <c r="M9" s="41">
        <f t="shared" si="7"/>
        <v>3048.9874118400039</v>
      </c>
      <c r="O9" s="34"/>
    </row>
    <row r="10" spans="1:15" x14ac:dyDescent="0.3">
      <c r="A10" s="28" t="s">
        <v>54</v>
      </c>
      <c r="B10" s="119">
        <v>110917</v>
      </c>
      <c r="C10" s="106">
        <f t="shared" si="0"/>
        <v>1.3717823709572015E-2</v>
      </c>
      <c r="D10">
        <v>122035</v>
      </c>
      <c r="E10" s="25">
        <f t="shared" si="1"/>
        <v>2.0505259266727156E-2</v>
      </c>
      <c r="F10" s="48">
        <f t="shared" si="2"/>
        <v>1.54146825988608E-2</v>
      </c>
      <c r="G10" s="21">
        <f t="shared" si="6"/>
        <v>22515.687358265011</v>
      </c>
      <c r="H10" s="118">
        <v>55413</v>
      </c>
      <c r="I10" s="131">
        <f t="shared" si="3"/>
        <v>1.2479137817307296E-2</v>
      </c>
      <c r="J10" s="21">
        <f t="shared" si="4"/>
        <v>1965.464206225899</v>
      </c>
      <c r="K10" s="104">
        <f t="shared" si="5"/>
        <v>24481.151564490909</v>
      </c>
      <c r="L10" s="117">
        <v>23143.515680820721</v>
      </c>
      <c r="M10" s="41">
        <f t="shared" si="7"/>
        <v>1337.6358836701875</v>
      </c>
      <c r="O10" s="34"/>
    </row>
    <row r="11" spans="1:15" ht="16.2" customHeight="1" x14ac:dyDescent="0.3">
      <c r="A11" s="28" t="s">
        <v>55</v>
      </c>
      <c r="B11" s="119">
        <v>765348</v>
      </c>
      <c r="C11" s="106">
        <f t="shared" si="0"/>
        <v>9.4655543699104033E-2</v>
      </c>
      <c r="D11">
        <v>937361</v>
      </c>
      <c r="E11" s="25">
        <f t="shared" si="1"/>
        <v>0.15750260442920994</v>
      </c>
      <c r="F11" s="48">
        <f t="shared" si="2"/>
        <v>0.11036730888163052</v>
      </c>
      <c r="G11" s="21">
        <f t="shared" si="6"/>
        <v>161209.66522758684</v>
      </c>
      <c r="H11" s="118">
        <v>537836</v>
      </c>
      <c r="I11" s="131">
        <f t="shared" si="3"/>
        <v>0.12112193108312647</v>
      </c>
      <c r="J11" s="21">
        <f t="shared" si="4"/>
        <v>19076.704145592419</v>
      </c>
      <c r="K11" s="104">
        <f t="shared" si="5"/>
        <v>180286.36937317927</v>
      </c>
      <c r="L11" s="117">
        <v>172740.8995531254</v>
      </c>
      <c r="M11" s="41">
        <f t="shared" si="7"/>
        <v>7545.4698200538696</v>
      </c>
      <c r="O11" s="34"/>
    </row>
    <row r="12" spans="1:15" x14ac:dyDescent="0.3">
      <c r="A12" s="1" t="s">
        <v>56</v>
      </c>
      <c r="B12" s="119">
        <v>592362</v>
      </c>
      <c r="C12" s="106">
        <f t="shared" si="0"/>
        <v>7.3261244788891677E-2</v>
      </c>
      <c r="D12">
        <v>431658</v>
      </c>
      <c r="E12" s="25">
        <f t="shared" si="1"/>
        <v>7.2530497025909871E-2</v>
      </c>
      <c r="F12" s="48">
        <f t="shared" si="2"/>
        <v>7.3078557848146222E-2</v>
      </c>
      <c r="G12" s="21">
        <f>((C12*3)+E12)/4*$H$2</f>
        <v>106743.2916992625</v>
      </c>
      <c r="H12" s="118">
        <v>292884</v>
      </c>
      <c r="I12" s="131">
        <f t="shared" si="3"/>
        <v>6.5958165060260768E-2</v>
      </c>
      <c r="J12" s="21">
        <f>I12*$H$3</f>
        <v>10388.410996991071</v>
      </c>
      <c r="K12" s="104">
        <f t="shared" si="5"/>
        <v>117131.70269625357</v>
      </c>
      <c r="L12" s="117">
        <v>112252.55313883907</v>
      </c>
      <c r="M12" s="41">
        <f t="shared" si="7"/>
        <v>4879.1495574145083</v>
      </c>
      <c r="O12" s="34"/>
    </row>
    <row r="13" spans="1:15" x14ac:dyDescent="0.3">
      <c r="A13" s="28" t="s">
        <v>57</v>
      </c>
      <c r="B13" s="119">
        <v>528341</v>
      </c>
      <c r="C13" s="106">
        <f t="shared" si="0"/>
        <v>6.5343353106728341E-2</v>
      </c>
      <c r="D13">
        <v>457652</v>
      </c>
      <c r="E13" s="25">
        <f t="shared" si="1"/>
        <v>7.6898208824814324E-2</v>
      </c>
      <c r="F13" s="48">
        <f t="shared" si="2"/>
        <v>6.8232067036249844E-2</v>
      </c>
      <c r="G13" s="21">
        <f>((C13*3)+E13)/4*$H$2</f>
        <v>99664.192197503871</v>
      </c>
      <c r="H13" s="118">
        <v>343648</v>
      </c>
      <c r="I13" s="131">
        <f t="shared" si="3"/>
        <v>7.7390337152690114E-2</v>
      </c>
      <c r="J13" s="21">
        <f t="shared" si="4"/>
        <v>12188.978101548693</v>
      </c>
      <c r="K13" s="104">
        <f t="shared" si="5"/>
        <v>111853.17029905257</v>
      </c>
      <c r="L13" s="117">
        <v>108554.01189135559</v>
      </c>
      <c r="M13" s="41">
        <f t="shared" si="7"/>
        <v>3299.1584076969739</v>
      </c>
      <c r="O13" s="34"/>
    </row>
    <row r="14" spans="1:15" x14ac:dyDescent="0.3">
      <c r="A14" s="28" t="s">
        <v>58</v>
      </c>
      <c r="B14" s="119">
        <v>280744</v>
      </c>
      <c r="C14" s="106">
        <f t="shared" si="0"/>
        <v>3.4721428631500004E-2</v>
      </c>
      <c r="D14">
        <v>156640</v>
      </c>
      <c r="E14" s="25">
        <f t="shared" si="1"/>
        <v>2.6319857512518061E-2</v>
      </c>
      <c r="F14" s="48">
        <f t="shared" si="2"/>
        <v>3.2621035851754521E-2</v>
      </c>
      <c r="G14" s="21">
        <f t="shared" si="6"/>
        <v>47648.405332403017</v>
      </c>
      <c r="H14" s="118">
        <v>131642</v>
      </c>
      <c r="I14" s="131">
        <f t="shared" si="3"/>
        <v>2.9646087750996464E-2</v>
      </c>
      <c r="J14" s="21">
        <f t="shared" si="4"/>
        <v>4669.2588207819435</v>
      </c>
      <c r="K14" s="104">
        <f t="shared" si="5"/>
        <v>52317.66415318496</v>
      </c>
      <c r="L14" s="117">
        <v>49720.228486707048</v>
      </c>
      <c r="M14" s="41">
        <f t="shared" si="7"/>
        <v>2597.4356664779116</v>
      </c>
      <c r="O14" s="34"/>
    </row>
    <row r="15" spans="1:15" ht="15.6" customHeight="1" x14ac:dyDescent="0.3">
      <c r="A15" s="28" t="s">
        <v>59</v>
      </c>
      <c r="B15" s="119">
        <v>328419</v>
      </c>
      <c r="C15" s="106">
        <f t="shared" si="0"/>
        <v>4.0617704633860739E-2</v>
      </c>
      <c r="D15">
        <v>255458</v>
      </c>
      <c r="E15" s="25">
        <f t="shared" si="1"/>
        <v>4.2924017878146321E-2</v>
      </c>
      <c r="F15" s="48">
        <f t="shared" si="2"/>
        <v>4.1194282944932131E-2</v>
      </c>
      <c r="G15" s="21">
        <f t="shared" si="6"/>
        <v>60171.047297759294</v>
      </c>
      <c r="H15" s="118">
        <v>99835</v>
      </c>
      <c r="I15" s="131">
        <f t="shared" si="3"/>
        <v>2.2483076606407772E-2</v>
      </c>
      <c r="J15" s="21">
        <f t="shared" si="4"/>
        <v>3541.0845655092239</v>
      </c>
      <c r="K15" s="104">
        <f t="shared" si="5"/>
        <v>63712.131863268522</v>
      </c>
      <c r="L15" s="117">
        <v>59543.442956067061</v>
      </c>
      <c r="M15" s="41">
        <f t="shared" si="7"/>
        <v>4168.6889072014601</v>
      </c>
      <c r="O15" s="34"/>
    </row>
    <row r="16" spans="1:15" ht="15.6" customHeight="1" x14ac:dyDescent="0.3">
      <c r="A16" s="28" t="s">
        <v>109</v>
      </c>
      <c r="B16" s="119">
        <v>422102</v>
      </c>
      <c r="C16" s="106">
        <f t="shared" si="0"/>
        <v>5.2204087952773398E-2</v>
      </c>
      <c r="D16">
        <v>456413</v>
      </c>
      <c r="E16" s="25">
        <f t="shared" ref="E16:E17" si="8">D16/$D$22</f>
        <v>7.6690022515710596E-2</v>
      </c>
      <c r="F16" s="48">
        <f t="shared" si="2"/>
        <v>5.8325571593507694E-2</v>
      </c>
      <c r="G16" s="21">
        <f t="shared" si="6"/>
        <v>85194.121031630915</v>
      </c>
      <c r="H16" s="118">
        <v>222756</v>
      </c>
      <c r="I16" s="131">
        <f t="shared" si="3"/>
        <v>5.0165174663564578E-2</v>
      </c>
      <c r="J16" s="21">
        <f>I16*$H$3</f>
        <v>7901.0150095114213</v>
      </c>
      <c r="K16" s="104">
        <f t="shared" si="5"/>
        <v>93095.136041142337</v>
      </c>
      <c r="L16" s="117">
        <v>90251.103625953285</v>
      </c>
      <c r="M16" s="41">
        <f t="shared" si="7"/>
        <v>2844.0324151890527</v>
      </c>
      <c r="N16" s="110"/>
      <c r="O16" s="34"/>
    </row>
    <row r="17" spans="1:15" x14ac:dyDescent="0.3">
      <c r="A17" s="28" t="s">
        <v>60</v>
      </c>
      <c r="B17" s="119">
        <v>1913939</v>
      </c>
      <c r="C17" s="106">
        <f t="shared" si="0"/>
        <v>0.23670923116271222</v>
      </c>
      <c r="D17">
        <v>922529</v>
      </c>
      <c r="E17" s="25">
        <f t="shared" si="8"/>
        <v>0.15501041771683974</v>
      </c>
      <c r="F17" s="48">
        <f t="shared" si="2"/>
        <v>0.2162845278012441</v>
      </c>
      <c r="G17" s="21">
        <f t="shared" si="6"/>
        <v>315919.23980080424</v>
      </c>
      <c r="H17" s="118">
        <v>1009831</v>
      </c>
      <c r="I17" s="131">
        <f t="shared" si="3"/>
        <v>0.22741631424375586</v>
      </c>
      <c r="J17" s="21">
        <f t="shared" si="4"/>
        <v>35818.069493391551</v>
      </c>
      <c r="K17" s="104">
        <f t="shared" si="5"/>
        <v>351737.30929419579</v>
      </c>
      <c r="L17" s="117">
        <v>334269.70436181268</v>
      </c>
      <c r="M17" s="41">
        <f t="shared" si="7"/>
        <v>17467.60493238311</v>
      </c>
      <c r="O17" s="34"/>
    </row>
    <row r="18" spans="1:15" x14ac:dyDescent="0.3">
      <c r="A18" s="28" t="s">
        <v>61</v>
      </c>
      <c r="B18" s="119">
        <v>166091</v>
      </c>
      <c r="C18" s="106">
        <f t="shared" si="0"/>
        <v>2.0541549606881954E-2</v>
      </c>
      <c r="D18">
        <v>125247</v>
      </c>
      <c r="E18" s="25">
        <f>D18/$D$22</f>
        <v>2.1044964210101824E-2</v>
      </c>
      <c r="F18" s="48">
        <f t="shared" si="2"/>
        <v>2.0667403257686921E-2</v>
      </c>
      <c r="G18" s="21">
        <f t="shared" si="6"/>
        <v>30188.152579389265</v>
      </c>
      <c r="H18" s="118">
        <v>78078</v>
      </c>
      <c r="I18" s="131">
        <f t="shared" si="3"/>
        <v>1.7583349078730968E-2</v>
      </c>
      <c r="J18" s="21">
        <f>I18*$H$3</f>
        <v>2769.3774799001276</v>
      </c>
      <c r="K18" s="104">
        <f t="shared" si="5"/>
        <v>32957.530059289391</v>
      </c>
      <c r="L18" s="117">
        <v>31353.589145778758</v>
      </c>
      <c r="M18" s="41">
        <f t="shared" si="7"/>
        <v>1603.9409135106325</v>
      </c>
      <c r="O18" s="34"/>
    </row>
    <row r="19" spans="1:15" x14ac:dyDescent="0.3">
      <c r="A19" s="28" t="s">
        <v>62</v>
      </c>
      <c r="B19" s="119">
        <v>413887</v>
      </c>
      <c r="C19" s="106">
        <f t="shared" si="0"/>
        <v>5.1188085700872119E-2</v>
      </c>
      <c r="D19">
        <v>291525</v>
      </c>
      <c r="E19" s="25">
        <f>D19/$D$22</f>
        <v>4.8984272608125816E-2</v>
      </c>
      <c r="F19" s="48">
        <f t="shared" si="2"/>
        <v>5.0637132427685541E-2</v>
      </c>
      <c r="G19" s="21">
        <f t="shared" si="6"/>
        <v>73963.8870374853</v>
      </c>
      <c r="H19" s="118">
        <v>181615</v>
      </c>
      <c r="I19" s="131">
        <f t="shared" si="3"/>
        <v>4.0900124784622099E-2</v>
      </c>
      <c r="J19" s="21">
        <f t="shared" si="4"/>
        <v>6441.7696535779805</v>
      </c>
      <c r="K19" s="104">
        <f t="shared" si="5"/>
        <v>80405.656691063283</v>
      </c>
      <c r="L19" s="117">
        <v>78240.30386691507</v>
      </c>
      <c r="M19" s="41">
        <f t="shared" si="7"/>
        <v>2165.3528241482127</v>
      </c>
      <c r="O19" s="34"/>
    </row>
    <row r="20" spans="1:15" x14ac:dyDescent="0.3">
      <c r="A20" s="28" t="s">
        <v>63</v>
      </c>
      <c r="B20" s="119">
        <v>392576</v>
      </c>
      <c r="C20" s="106">
        <f t="shared" si="0"/>
        <v>4.8552416316785918E-2</v>
      </c>
      <c r="D20">
        <v>333258</v>
      </c>
      <c r="E20" s="25">
        <f>D20/$D$22</f>
        <v>5.5996572235104347E-2</v>
      </c>
      <c r="F20" s="48">
        <f t="shared" si="2"/>
        <v>5.0413455296365525E-2</v>
      </c>
      <c r="G20" s="21">
        <f t="shared" si="6"/>
        <v>73637.169680465755</v>
      </c>
      <c r="H20" s="118">
        <v>290199</v>
      </c>
      <c r="I20" s="131">
        <f t="shared" si="3"/>
        <v>6.53534967506679E-2</v>
      </c>
      <c r="J20" s="21">
        <f t="shared" si="4"/>
        <v>10293.175738230195</v>
      </c>
      <c r="K20" s="104">
        <f t="shared" si="5"/>
        <v>83930.345418695942</v>
      </c>
      <c r="L20" s="117">
        <v>78460.525781572345</v>
      </c>
      <c r="M20" s="41">
        <f t="shared" si="7"/>
        <v>5469.8196371235972</v>
      </c>
      <c r="O20" s="34"/>
    </row>
    <row r="21" spans="1:15" x14ac:dyDescent="0.3">
      <c r="A21" s="28" t="s">
        <v>64</v>
      </c>
      <c r="B21" s="119">
        <v>393167</v>
      </c>
      <c r="C21" s="106">
        <f t="shared" si="0"/>
        <v>4.862550911421424E-2</v>
      </c>
      <c r="D21">
        <v>285118</v>
      </c>
      <c r="E21" s="25">
        <f>D21/$D$22</f>
        <v>4.7907719192122861E-2</v>
      </c>
      <c r="F21" s="48">
        <f t="shared" si="2"/>
        <v>4.8446061633691397E-2</v>
      </c>
      <c r="G21" s="21">
        <f t="shared" si="6"/>
        <v>70763.466616175851</v>
      </c>
      <c r="H21" s="118">
        <v>178698</v>
      </c>
      <c r="I21" s="131">
        <f t="shared" si="3"/>
        <v>4.0243209529842804E-2</v>
      </c>
      <c r="J21" s="21">
        <f t="shared" si="4"/>
        <v>6338.3055009502414</v>
      </c>
      <c r="K21" s="104">
        <f t="shared" si="5"/>
        <v>77101.772117126093</v>
      </c>
      <c r="L21" s="117">
        <v>73397.213125755326</v>
      </c>
      <c r="M21" s="41">
        <f t="shared" si="7"/>
        <v>3704.5589913707663</v>
      </c>
      <c r="O21" s="34"/>
    </row>
    <row r="22" spans="1:15" x14ac:dyDescent="0.3">
      <c r="A22" s="7" t="s">
        <v>65</v>
      </c>
      <c r="B22" s="120">
        <f>SUM(B7:B21)</f>
        <v>8085612</v>
      </c>
      <c r="C22" s="106">
        <f t="shared" ref="C22:K22" si="9">SUM(C7:C21)</f>
        <v>1</v>
      </c>
      <c r="D22" s="120">
        <f>SUM(D7:D21)</f>
        <v>5951400</v>
      </c>
      <c r="E22" s="25">
        <f t="shared" si="9"/>
        <v>1</v>
      </c>
      <c r="F22" s="25">
        <f t="shared" si="9"/>
        <v>0.99999999999999989</v>
      </c>
      <c r="G22" s="11">
        <f t="shared" si="9"/>
        <v>1460665</v>
      </c>
      <c r="H22" s="118">
        <f t="shared" si="9"/>
        <v>4440451</v>
      </c>
      <c r="I22" s="132">
        <f t="shared" si="9"/>
        <v>1</v>
      </c>
      <c r="J22" s="11">
        <f t="shared" si="9"/>
        <v>157500</v>
      </c>
      <c r="K22" s="104">
        <f t="shared" si="9"/>
        <v>1618165.0000000002</v>
      </c>
      <c r="L22" s="111">
        <f>SUM(L7:L21)</f>
        <v>1541110</v>
      </c>
      <c r="M22" s="41"/>
      <c r="O22" s="22"/>
    </row>
    <row r="23" spans="1:15" x14ac:dyDescent="0.3">
      <c r="D23" s="71"/>
      <c r="H23" s="22"/>
    </row>
    <row r="24" spans="1:15" x14ac:dyDescent="0.3">
      <c r="A24" s="26" t="s">
        <v>91</v>
      </c>
      <c r="D24" s="71"/>
    </row>
    <row r="25" spans="1:15" ht="28.8" x14ac:dyDescent="0.3">
      <c r="A25" s="1" t="s">
        <v>66</v>
      </c>
      <c r="B25" s="129"/>
      <c r="E25" s="121"/>
      <c r="I25" s="36"/>
    </row>
    <row r="26" spans="1:15" ht="28.8" x14ac:dyDescent="0.3">
      <c r="A26" s="112" t="s">
        <v>67</v>
      </c>
      <c r="I26" s="36"/>
    </row>
    <row r="27" spans="1:15" x14ac:dyDescent="0.3">
      <c r="A27" s="113" t="s">
        <v>119</v>
      </c>
      <c r="D27" s="71"/>
      <c r="I27" s="36"/>
    </row>
    <row r="28" spans="1:15" x14ac:dyDescent="0.3">
      <c r="A28" s="113" t="s">
        <v>120</v>
      </c>
      <c r="D28" s="71"/>
      <c r="I28" s="36"/>
    </row>
    <row r="29" spans="1:15" x14ac:dyDescent="0.3">
      <c r="A29" s="114" t="s">
        <v>121</v>
      </c>
      <c r="B29" s="89"/>
      <c r="C29" s="89"/>
      <c r="D29" s="71"/>
      <c r="I29" s="36"/>
    </row>
    <row r="30" spans="1:15" ht="16.95" customHeight="1" x14ac:dyDescent="0.3">
      <c r="A30" s="113" t="s">
        <v>124</v>
      </c>
      <c r="D30" s="71"/>
      <c r="I30" s="36"/>
    </row>
    <row r="31" spans="1:15" ht="16.95" customHeight="1" x14ac:dyDescent="0.3">
      <c r="A31" s="113" t="s">
        <v>123</v>
      </c>
      <c r="D31" s="71"/>
      <c r="I31" s="36"/>
    </row>
    <row r="32" spans="1:15" x14ac:dyDescent="0.3">
      <c r="A32" s="114" t="s">
        <v>122</v>
      </c>
      <c r="B32" s="89"/>
      <c r="C32" s="89"/>
      <c r="D32" s="71"/>
      <c r="I32" s="36"/>
    </row>
    <row r="33" spans="1:9" ht="28.8" x14ac:dyDescent="0.3">
      <c r="A33" s="113" t="s">
        <v>126</v>
      </c>
      <c r="D33" s="71"/>
      <c r="I33" s="36"/>
    </row>
    <row r="34" spans="1:9" x14ac:dyDescent="0.3">
      <c r="A34" s="115" t="s">
        <v>125</v>
      </c>
      <c r="D34" s="71"/>
      <c r="I34" s="36"/>
    </row>
    <row r="35" spans="1:9" x14ac:dyDescent="0.3">
      <c r="A35" s="26"/>
      <c r="I35" s="36"/>
    </row>
    <row r="36" spans="1:9" x14ac:dyDescent="0.3">
      <c r="A36"/>
      <c r="G36" s="36"/>
    </row>
    <row r="37" spans="1:9" x14ac:dyDescent="0.3">
      <c r="A37" s="10"/>
      <c r="B37" s="127"/>
      <c r="C37" s="127"/>
      <c r="D37" s="10"/>
      <c r="G37" s="36"/>
    </row>
    <row r="38" spans="1:9" x14ac:dyDescent="0.3">
      <c r="A38"/>
      <c r="C38" s="128"/>
    </row>
    <row r="39" spans="1:9" x14ac:dyDescent="0.3">
      <c r="A39"/>
      <c r="C39" s="128"/>
    </row>
    <row r="40" spans="1:9" x14ac:dyDescent="0.3">
      <c r="A40"/>
    </row>
    <row r="41" spans="1:9" x14ac:dyDescent="0.3">
      <c r="A41"/>
    </row>
  </sheetData>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2"/>
  <sheetViews>
    <sheetView zoomScaleNormal="100" workbookViewId="0">
      <selection activeCell="I23" sqref="I23"/>
    </sheetView>
  </sheetViews>
  <sheetFormatPr defaultRowHeight="14.4" x14ac:dyDescent="0.3"/>
  <cols>
    <col min="1" max="1" width="35.44140625" customWidth="1"/>
    <col min="2" max="2" width="14.33203125" customWidth="1"/>
    <col min="3" max="3" width="12.109375" customWidth="1"/>
    <col min="4" max="4" width="13.109375" customWidth="1"/>
    <col min="5" max="5" width="17.33203125" customWidth="1"/>
    <col min="6" max="7" width="16.6640625" customWidth="1"/>
    <col min="8" max="8" width="15.109375" bestFit="1" customWidth="1"/>
    <col min="9" max="9" width="12.6640625" customWidth="1"/>
  </cols>
  <sheetData>
    <row r="1" spans="1:14" ht="18" x14ac:dyDescent="0.35">
      <c r="A1" s="145" t="s">
        <v>116</v>
      </c>
      <c r="B1" s="145"/>
      <c r="C1" s="145"/>
      <c r="D1" s="145"/>
      <c r="E1" s="145"/>
      <c r="F1" s="145"/>
      <c r="G1" s="145"/>
      <c r="H1" s="145"/>
      <c r="I1" s="145"/>
      <c r="J1" s="145"/>
      <c r="K1" s="145"/>
      <c r="L1" s="145"/>
      <c r="M1" s="145"/>
      <c r="N1" s="145"/>
    </row>
    <row r="2" spans="1:14" ht="28.8" x14ac:dyDescent="0.3">
      <c r="A2" s="1"/>
      <c r="B2" s="1" t="s">
        <v>84</v>
      </c>
      <c r="C2" s="70">
        <v>80000</v>
      </c>
      <c r="D2" s="34"/>
      <c r="H2" s="10"/>
      <c r="I2" s="70"/>
    </row>
    <row r="3" spans="1:14" x14ac:dyDescent="0.3">
      <c r="A3" s="1"/>
    </row>
    <row r="4" spans="1:14" x14ac:dyDescent="0.3">
      <c r="A4" s="1"/>
      <c r="B4" s="40">
        <v>2024</v>
      </c>
      <c r="C4" s="40">
        <v>2024</v>
      </c>
      <c r="D4" s="40">
        <v>2023</v>
      </c>
      <c r="E4" s="16">
        <v>2023</v>
      </c>
      <c r="F4" s="16" t="s">
        <v>82</v>
      </c>
      <c r="G4" s="16">
        <v>2026</v>
      </c>
      <c r="H4" s="16">
        <v>2025</v>
      </c>
      <c r="I4" s="16"/>
      <c r="J4" s="17"/>
    </row>
    <row r="5" spans="1:14" x14ac:dyDescent="0.3">
      <c r="A5" s="27"/>
      <c r="B5" s="122" t="s">
        <v>43</v>
      </c>
      <c r="C5" s="72" t="s">
        <v>44</v>
      </c>
      <c r="D5" s="122" t="s">
        <v>83</v>
      </c>
      <c r="E5" s="72" t="s">
        <v>45</v>
      </c>
      <c r="F5" s="72" t="s">
        <v>68</v>
      </c>
      <c r="G5" s="72" t="s">
        <v>90</v>
      </c>
      <c r="H5" s="72" t="s">
        <v>90</v>
      </c>
      <c r="I5" s="75"/>
      <c r="J5" s="76"/>
      <c r="K5" s="73"/>
    </row>
    <row r="6" spans="1:14" x14ac:dyDescent="0.3">
      <c r="A6" s="28" t="s">
        <v>51</v>
      </c>
      <c r="B6" s="119">
        <f>'Buying pool summary'!B7</f>
        <v>803404</v>
      </c>
      <c r="C6" s="106">
        <f>B6/$B$21</f>
        <v>9.9362175676992667E-2</v>
      </c>
      <c r="D6" s="123">
        <f>'Buying pool summary'!D7</f>
        <v>517981</v>
      </c>
      <c r="E6" s="25">
        <f t="shared" ref="E6:E21" si="0">D6/$D$21</f>
        <v>8.7035151392949553E-2</v>
      </c>
      <c r="F6" s="49">
        <f t="shared" ref="F6:F20" si="1">(($C6*3)+$E6)/4</f>
        <v>9.6280419605981882E-2</v>
      </c>
      <c r="G6" s="15">
        <f>(($C6*3)+$E6)/4*$C$2</f>
        <v>7702.4335684785501</v>
      </c>
      <c r="H6" s="21">
        <v>9556.1107306505783</v>
      </c>
      <c r="I6" s="14"/>
      <c r="J6" s="77"/>
      <c r="K6" s="74"/>
    </row>
    <row r="7" spans="1:14" x14ac:dyDescent="0.3">
      <c r="A7" s="1" t="s">
        <v>80</v>
      </c>
      <c r="B7" s="119">
        <f>'Buying pool summary'!B8</f>
        <v>801292</v>
      </c>
      <c r="C7" s="106">
        <f t="shared" ref="C7:C21" si="2">B7/$B$21</f>
        <v>9.9100970959279278E-2</v>
      </c>
      <c r="D7" s="123">
        <f>'Buying pool summary'!D8</f>
        <v>488287</v>
      </c>
      <c r="E7" s="25">
        <f t="shared" si="0"/>
        <v>8.2045737137480257E-2</v>
      </c>
      <c r="F7" s="49">
        <f t="shared" si="1"/>
        <v>9.4837162503829522E-2</v>
      </c>
      <c r="G7" s="15">
        <f t="shared" ref="G7:G20" si="3">(($C7*3)+$E7)/4*$C$2</f>
        <v>7586.9730003063614</v>
      </c>
      <c r="H7" s="21">
        <v>9445.8320622607225</v>
      </c>
      <c r="I7" s="14"/>
      <c r="J7" s="77"/>
      <c r="K7" s="74"/>
    </row>
    <row r="8" spans="1:14" x14ac:dyDescent="0.3">
      <c r="A8" s="28" t="s">
        <v>52</v>
      </c>
      <c r="B8" s="119">
        <f>'Buying pool summary'!B9</f>
        <v>173023</v>
      </c>
      <c r="C8" s="106">
        <f t="shared" si="2"/>
        <v>2.1398874939831395E-2</v>
      </c>
      <c r="D8" s="123">
        <f>'Buying pool summary'!D9</f>
        <v>170238</v>
      </c>
      <c r="E8" s="25">
        <f t="shared" si="0"/>
        <v>2.860469805423934E-2</v>
      </c>
      <c r="F8" s="49">
        <f t="shared" si="1"/>
        <v>2.320033071843338E-2</v>
      </c>
      <c r="G8" s="15">
        <f t="shared" si="3"/>
        <v>1856.0264574746705</v>
      </c>
      <c r="H8" s="21">
        <v>2225.108589139531</v>
      </c>
      <c r="I8" s="14"/>
      <c r="J8" s="77"/>
      <c r="K8" s="74"/>
    </row>
    <row r="9" spans="1:14" x14ac:dyDescent="0.3">
      <c r="A9" s="28" t="s">
        <v>54</v>
      </c>
      <c r="B9" s="119">
        <f>'Buying pool summary'!B10</f>
        <v>110917</v>
      </c>
      <c r="C9" s="106">
        <f t="shared" si="2"/>
        <v>1.3717823709572015E-2</v>
      </c>
      <c r="D9" s="123">
        <f>'Buying pool summary'!D10</f>
        <v>122035</v>
      </c>
      <c r="E9" s="25">
        <f t="shared" si="0"/>
        <v>2.0505259266727156E-2</v>
      </c>
      <c r="F9" s="49">
        <f t="shared" si="1"/>
        <v>1.54146825988608E-2</v>
      </c>
      <c r="G9" s="15">
        <f t="shared" si="3"/>
        <v>1233.1746079088641</v>
      </c>
      <c r="H9" s="21">
        <v>1531.3434011739205</v>
      </c>
      <c r="I9" s="14"/>
      <c r="J9" s="77"/>
      <c r="K9" s="74"/>
    </row>
    <row r="10" spans="1:14" x14ac:dyDescent="0.3">
      <c r="A10" s="28" t="s">
        <v>55</v>
      </c>
      <c r="B10" s="119">
        <f>'Buying pool summary'!B11</f>
        <v>765348</v>
      </c>
      <c r="C10" s="106">
        <f t="shared" si="2"/>
        <v>9.4655543699104033E-2</v>
      </c>
      <c r="D10" s="123">
        <f>'Buying pool summary'!D11</f>
        <v>937361</v>
      </c>
      <c r="E10" s="25">
        <f t="shared" si="0"/>
        <v>0.15750260442920994</v>
      </c>
      <c r="F10" s="49">
        <f t="shared" si="1"/>
        <v>0.11036730888163052</v>
      </c>
      <c r="G10" s="15">
        <f t="shared" si="3"/>
        <v>8829.3847105304412</v>
      </c>
      <c r="H10" s="21">
        <v>11199.171459909798</v>
      </c>
      <c r="I10" s="14"/>
      <c r="J10" s="77"/>
      <c r="K10" s="74"/>
    </row>
    <row r="11" spans="1:14" x14ac:dyDescent="0.3">
      <c r="A11" s="1" t="s">
        <v>56</v>
      </c>
      <c r="B11" s="119">
        <f>'Buying pool summary'!B12</f>
        <v>592362</v>
      </c>
      <c r="C11" s="106">
        <f t="shared" si="2"/>
        <v>7.3261244788891677E-2</v>
      </c>
      <c r="D11" s="123">
        <f>'Buying pool summary'!D12</f>
        <v>431658</v>
      </c>
      <c r="E11" s="25">
        <f t="shared" si="0"/>
        <v>7.2530497025909871E-2</v>
      </c>
      <c r="F11" s="49">
        <f t="shared" si="1"/>
        <v>7.3078557848146222E-2</v>
      </c>
      <c r="G11" s="15">
        <f t="shared" si="3"/>
        <v>5846.2846278516981</v>
      </c>
      <c r="H11" s="21">
        <v>7337.930763893688</v>
      </c>
      <c r="I11" s="14"/>
      <c r="J11" s="77"/>
      <c r="K11" s="74"/>
    </row>
    <row r="12" spans="1:14" x14ac:dyDescent="0.3">
      <c r="A12" s="28" t="s">
        <v>72</v>
      </c>
      <c r="B12" s="119">
        <f>'Buying pool summary'!B13</f>
        <v>528341</v>
      </c>
      <c r="C12" s="106">
        <f t="shared" si="2"/>
        <v>6.5343353106728341E-2</v>
      </c>
      <c r="D12" s="123">
        <f>'Buying pool summary'!D13</f>
        <v>457652</v>
      </c>
      <c r="E12" s="25">
        <f t="shared" si="0"/>
        <v>7.6898208824814324E-2</v>
      </c>
      <c r="F12" s="49">
        <f t="shared" si="1"/>
        <v>6.8232067036249844E-2</v>
      </c>
      <c r="G12" s="15">
        <f t="shared" si="3"/>
        <v>5458.5653628999871</v>
      </c>
      <c r="H12" s="21">
        <v>6916.7659680146289</v>
      </c>
      <c r="I12" s="14"/>
      <c r="J12" s="77"/>
      <c r="K12" s="74"/>
    </row>
    <row r="13" spans="1:14" x14ac:dyDescent="0.3">
      <c r="A13" s="28" t="s">
        <v>58</v>
      </c>
      <c r="B13" s="119">
        <f>'Buying pool summary'!B14</f>
        <v>280744</v>
      </c>
      <c r="C13" s="106">
        <f t="shared" si="2"/>
        <v>3.4721428631500004E-2</v>
      </c>
      <c r="D13" s="123">
        <f>'Buying pool summary'!D14</f>
        <v>156640</v>
      </c>
      <c r="E13" s="25">
        <f t="shared" si="0"/>
        <v>2.6319857512518061E-2</v>
      </c>
      <c r="F13" s="49">
        <f t="shared" si="1"/>
        <v>3.2621035851754521E-2</v>
      </c>
      <c r="G13" s="15">
        <f t="shared" si="3"/>
        <v>2609.6828681403617</v>
      </c>
      <c r="H13" s="21">
        <v>3257.4038291350698</v>
      </c>
      <c r="I13" s="14"/>
      <c r="J13" s="77"/>
      <c r="K13" s="74"/>
    </row>
    <row r="14" spans="1:14" x14ac:dyDescent="0.3">
      <c r="A14" s="28" t="s">
        <v>71</v>
      </c>
      <c r="B14" s="119">
        <f>'Buying pool summary'!B15</f>
        <v>328419</v>
      </c>
      <c r="C14" s="106">
        <f t="shared" si="2"/>
        <v>4.0617704633860739E-2</v>
      </c>
      <c r="D14" s="123">
        <f>'Buying pool summary'!D15</f>
        <v>255458</v>
      </c>
      <c r="E14" s="25">
        <f t="shared" si="0"/>
        <v>4.2924017878146321E-2</v>
      </c>
      <c r="F14" s="49">
        <f t="shared" si="1"/>
        <v>4.1194282944932131E-2</v>
      </c>
      <c r="G14" s="15">
        <f t="shared" si="3"/>
        <v>3295.5426355945706</v>
      </c>
      <c r="H14" s="21">
        <v>4049.7765505455018</v>
      </c>
      <c r="I14" s="14"/>
      <c r="J14" s="77"/>
      <c r="K14" s="74"/>
    </row>
    <row r="15" spans="1:14" x14ac:dyDescent="0.3">
      <c r="A15" s="28" t="s">
        <v>104</v>
      </c>
      <c r="B15" s="119">
        <f>'Buying pool summary'!B16</f>
        <v>422102</v>
      </c>
      <c r="C15" s="106">
        <f t="shared" si="2"/>
        <v>5.2204087952773398E-2</v>
      </c>
      <c r="D15" s="123">
        <f>'Buying pool summary'!D16</f>
        <v>456413</v>
      </c>
      <c r="E15" s="25">
        <f t="shared" si="0"/>
        <v>7.6690022515710596E-2</v>
      </c>
      <c r="F15" s="49">
        <f t="shared" si="1"/>
        <v>5.8325571593507694E-2</v>
      </c>
      <c r="G15" s="15">
        <f t="shared" si="3"/>
        <v>4666.0457274806158</v>
      </c>
      <c r="H15" s="21">
        <v>5947.7578717969172</v>
      </c>
      <c r="I15" s="110"/>
      <c r="J15" s="77"/>
      <c r="K15" s="74"/>
    </row>
    <row r="16" spans="1:14" x14ac:dyDescent="0.3">
      <c r="A16" s="28" t="s">
        <v>60</v>
      </c>
      <c r="B16" s="119">
        <f>'Buying pool summary'!B17</f>
        <v>1913939</v>
      </c>
      <c r="C16" s="106">
        <f t="shared" si="2"/>
        <v>0.23670923116271222</v>
      </c>
      <c r="D16" s="123">
        <f>'Buying pool summary'!D17</f>
        <v>922529</v>
      </c>
      <c r="E16" s="25">
        <f t="shared" si="0"/>
        <v>0.15501041771683974</v>
      </c>
      <c r="F16" s="49">
        <f t="shared" si="1"/>
        <v>0.2162845278012441</v>
      </c>
      <c r="G16" s="15">
        <f t="shared" si="3"/>
        <v>17302.76222409953</v>
      </c>
      <c r="H16" s="21">
        <v>21496.635213646852</v>
      </c>
      <c r="I16" s="14"/>
      <c r="J16" s="77"/>
      <c r="K16" s="74"/>
    </row>
    <row r="17" spans="1:11" x14ac:dyDescent="0.3">
      <c r="A17" s="28" t="s">
        <v>61</v>
      </c>
      <c r="B17" s="119">
        <f>'Buying pool summary'!B18</f>
        <v>166091</v>
      </c>
      <c r="C17" s="106">
        <f t="shared" si="2"/>
        <v>2.0541549606881954E-2</v>
      </c>
      <c r="D17" s="123">
        <f>'Buying pool summary'!D18</f>
        <v>125247</v>
      </c>
      <c r="E17" s="25">
        <f t="shared" si="0"/>
        <v>2.1044964210101824E-2</v>
      </c>
      <c r="F17" s="49">
        <f t="shared" si="1"/>
        <v>2.0667403257686921E-2</v>
      </c>
      <c r="G17" s="15">
        <f t="shared" si="3"/>
        <v>1653.3922606149538</v>
      </c>
      <c r="H17" s="21">
        <v>2069.3952992212194</v>
      </c>
      <c r="I17" s="14"/>
      <c r="J17" s="77"/>
      <c r="K17" s="74"/>
    </row>
    <row r="18" spans="1:11" x14ac:dyDescent="0.3">
      <c r="A18" s="28" t="s">
        <v>62</v>
      </c>
      <c r="B18" s="119">
        <f>'Buying pool summary'!B19</f>
        <v>413887</v>
      </c>
      <c r="C18" s="106">
        <f t="shared" si="2"/>
        <v>5.1188085700872119E-2</v>
      </c>
      <c r="D18" s="123">
        <f>'Buying pool summary'!D19</f>
        <v>291525</v>
      </c>
      <c r="E18" s="25">
        <f t="shared" si="0"/>
        <v>4.8984272608125816E-2</v>
      </c>
      <c r="F18" s="49">
        <f t="shared" si="1"/>
        <v>5.0637132427685541E-2</v>
      </c>
      <c r="G18" s="15">
        <f t="shared" si="3"/>
        <v>4050.9705942148435</v>
      </c>
      <c r="H18" s="21">
        <v>5160.0474599130412</v>
      </c>
      <c r="I18" s="14"/>
      <c r="J18" s="77"/>
      <c r="K18" s="74"/>
    </row>
    <row r="19" spans="1:11" x14ac:dyDescent="0.3">
      <c r="A19" s="28" t="s">
        <v>63</v>
      </c>
      <c r="B19" s="119">
        <f>'Buying pool summary'!B20</f>
        <v>392576</v>
      </c>
      <c r="C19" s="106">
        <f t="shared" si="2"/>
        <v>4.8552416316785918E-2</v>
      </c>
      <c r="D19" s="123">
        <f>'Buying pool summary'!D20</f>
        <v>333258</v>
      </c>
      <c r="E19" s="25">
        <f t="shared" si="0"/>
        <v>5.5996572235104347E-2</v>
      </c>
      <c r="F19" s="49">
        <f t="shared" si="1"/>
        <v>5.0413455296365525E-2</v>
      </c>
      <c r="G19" s="15">
        <f t="shared" si="3"/>
        <v>4033.0764237092421</v>
      </c>
      <c r="H19" s="21">
        <v>4962.2630757914631</v>
      </c>
      <c r="I19" s="14"/>
      <c r="J19" s="77"/>
      <c r="K19" s="74"/>
    </row>
    <row r="20" spans="1:11" x14ac:dyDescent="0.3">
      <c r="A20" s="28" t="s">
        <v>64</v>
      </c>
      <c r="B20" s="119">
        <f>'Buying pool summary'!B21</f>
        <v>393167</v>
      </c>
      <c r="C20" s="106">
        <f t="shared" si="2"/>
        <v>4.862550911421424E-2</v>
      </c>
      <c r="D20" s="123">
        <f>'Buying pool summary'!D21</f>
        <v>285118</v>
      </c>
      <c r="E20" s="25">
        <f t="shared" si="0"/>
        <v>4.7907719192122861E-2</v>
      </c>
      <c r="F20" s="49">
        <f t="shared" si="1"/>
        <v>4.8446061633691397E-2</v>
      </c>
      <c r="G20" s="15">
        <f t="shared" si="3"/>
        <v>3875.6849306953118</v>
      </c>
      <c r="H20" s="21">
        <v>4844.4577249070617</v>
      </c>
      <c r="I20" s="14"/>
      <c r="J20" s="77"/>
      <c r="K20" s="74"/>
    </row>
    <row r="21" spans="1:11" x14ac:dyDescent="0.3">
      <c r="A21" s="1" t="s">
        <v>65</v>
      </c>
      <c r="B21" s="120">
        <f>SUM(B6:B20)</f>
        <v>8085612</v>
      </c>
      <c r="C21" s="106">
        <f t="shared" si="2"/>
        <v>1</v>
      </c>
      <c r="D21" s="120">
        <f>SUM(D6:D20)</f>
        <v>5951400</v>
      </c>
      <c r="E21" s="25">
        <f t="shared" si="0"/>
        <v>1</v>
      </c>
      <c r="F21" s="25">
        <f>SUM(F6:F20)</f>
        <v>0.99999999999999989</v>
      </c>
      <c r="G21" s="15">
        <f>SUM(G6:G20)</f>
        <v>79999.999999999985</v>
      </c>
      <c r="H21" s="21">
        <f>SUM(H6:H20)</f>
        <v>99999.999999999971</v>
      </c>
      <c r="I21" s="11"/>
      <c r="J21" s="35"/>
      <c r="K21" s="142"/>
    </row>
    <row r="22" spans="1:11" x14ac:dyDescent="0.3">
      <c r="B22" s="97"/>
    </row>
  </sheetData>
  <mergeCells count="1">
    <mergeCell ref="A1:N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
  <sheetViews>
    <sheetView zoomScaleNormal="100" workbookViewId="0">
      <selection activeCell="E33" sqref="E33"/>
    </sheetView>
  </sheetViews>
  <sheetFormatPr defaultColWidth="8.88671875" defaultRowHeight="14.4" x14ac:dyDescent="0.3"/>
  <cols>
    <col min="1" max="1" width="34.6640625" bestFit="1" customWidth="1"/>
    <col min="2" max="2" width="6" hidden="1" customWidth="1"/>
    <col min="3" max="3" width="11.6640625" bestFit="1" customWidth="1"/>
    <col min="4" max="4" width="14.6640625" bestFit="1" customWidth="1"/>
    <col min="5" max="5" width="14.5546875" customWidth="1"/>
    <col min="6" max="6" width="12.109375" bestFit="1" customWidth="1"/>
    <col min="7" max="7" width="11.5546875" bestFit="1" customWidth="1"/>
    <col min="8" max="8" width="14.5546875" bestFit="1" customWidth="1"/>
    <col min="9" max="9" width="14.5546875" customWidth="1"/>
    <col min="10" max="10" width="11.5546875" bestFit="1" customWidth="1"/>
    <col min="11" max="11" width="9.6640625" bestFit="1" customWidth="1"/>
    <col min="12" max="12" width="8.6640625" customWidth="1"/>
  </cols>
  <sheetData>
    <row r="1" spans="1:14" x14ac:dyDescent="0.3">
      <c r="A1" s="146" t="s">
        <v>89</v>
      </c>
      <c r="B1" s="30"/>
      <c r="C1" s="83"/>
      <c r="D1" s="85">
        <v>2025</v>
      </c>
    </row>
    <row r="2" spans="1:14" ht="15" thickBot="1" x14ac:dyDescent="0.35">
      <c r="A2" s="147"/>
      <c r="B2" s="84"/>
      <c r="C2" s="94"/>
      <c r="D2" s="86">
        <v>2026</v>
      </c>
    </row>
    <row r="3" spans="1:14" x14ac:dyDescent="0.3">
      <c r="B3" s="10"/>
    </row>
    <row r="4" spans="1:14" x14ac:dyDescent="0.3">
      <c r="A4" s="148" t="s">
        <v>115</v>
      </c>
      <c r="B4" s="148"/>
      <c r="C4" s="148"/>
      <c r="D4" s="148"/>
      <c r="E4" s="148"/>
      <c r="F4" s="148"/>
      <c r="G4" s="148"/>
      <c r="H4" s="148"/>
      <c r="I4" s="148"/>
      <c r="J4" s="148"/>
      <c r="K4" s="148"/>
      <c r="L4" s="148"/>
      <c r="M4" s="148"/>
      <c r="N4" s="148"/>
    </row>
    <row r="5" spans="1:14" x14ac:dyDescent="0.3">
      <c r="C5" s="45">
        <v>2026</v>
      </c>
      <c r="D5" s="45">
        <v>2026</v>
      </c>
      <c r="E5" s="45">
        <v>2026</v>
      </c>
      <c r="F5" s="45">
        <v>2026</v>
      </c>
      <c r="G5" s="45">
        <v>2025</v>
      </c>
      <c r="H5" s="45">
        <v>2025</v>
      </c>
      <c r="I5" s="45">
        <v>2025</v>
      </c>
      <c r="J5" s="45">
        <v>2025</v>
      </c>
      <c r="K5" s="10" t="s">
        <v>22</v>
      </c>
    </row>
    <row r="6" spans="1:14" x14ac:dyDescent="0.3">
      <c r="A6" s="78" t="s">
        <v>102</v>
      </c>
      <c r="B6" s="44"/>
      <c r="C6" s="37" t="s">
        <v>75</v>
      </c>
      <c r="D6" s="37" t="s">
        <v>92</v>
      </c>
      <c r="E6" s="37" t="s">
        <v>85</v>
      </c>
      <c r="F6" s="37" t="s">
        <v>74</v>
      </c>
      <c r="G6" s="37" t="s">
        <v>75</v>
      </c>
      <c r="H6" s="37" t="s">
        <v>92</v>
      </c>
      <c r="I6" s="37" t="s">
        <v>85</v>
      </c>
      <c r="J6" s="37" t="s">
        <v>74</v>
      </c>
      <c r="K6" s="37" t="s">
        <v>73</v>
      </c>
    </row>
    <row r="7" spans="1:14" x14ac:dyDescent="0.3">
      <c r="A7" s="81" t="s">
        <v>51</v>
      </c>
      <c r="B7" s="43">
        <v>25542</v>
      </c>
      <c r="C7" s="92">
        <f>'Buying pool summary'!K7</f>
        <v>157800.33048484969</v>
      </c>
      <c r="D7" s="93">
        <f>'Partner shares'!B6</f>
        <v>8387.4699999999993</v>
      </c>
      <c r="E7" s="93">
        <f>'Magazine Costs'!G6</f>
        <v>7702.4335684785501</v>
      </c>
      <c r="F7" s="93">
        <f t="shared" ref="F7:F21" si="0">SUM(C7:E7)</f>
        <v>173890.23405332825</v>
      </c>
      <c r="G7" s="79">
        <f>'Buying pool summary'!L7</f>
        <v>149149.67676422553</v>
      </c>
      <c r="H7" s="80">
        <f>'Partner shares'!C6</f>
        <v>8112</v>
      </c>
      <c r="I7" s="80">
        <f>'Magazine Costs'!H6</f>
        <v>9556.1107306505783</v>
      </c>
      <c r="J7" s="80">
        <f t="shared" ref="J7:J21" si="1">SUM(G7:I7)</f>
        <v>166817.7874948761</v>
      </c>
      <c r="K7" s="14">
        <f>F7-J7</f>
        <v>7072.4465584521531</v>
      </c>
    </row>
    <row r="8" spans="1:14" x14ac:dyDescent="0.3">
      <c r="A8" s="43" t="s">
        <v>80</v>
      </c>
      <c r="B8" s="43"/>
      <c r="C8" s="92">
        <f>'Buying pool summary'!K8</f>
        <v>154029.37580933631</v>
      </c>
      <c r="D8" s="93">
        <f>'Partner shares'!B7</f>
        <v>8387.4699999999993</v>
      </c>
      <c r="E8" s="93">
        <f>'Magazine Costs'!G7</f>
        <v>7586.9730003063614</v>
      </c>
      <c r="F8" s="93">
        <f t="shared" si="0"/>
        <v>170003.81880964269</v>
      </c>
      <c r="G8" s="79">
        <f>'Buying pool summary'!L8</f>
        <v>145756.86489804066</v>
      </c>
      <c r="H8" s="80">
        <f>'Partner shares'!C7</f>
        <v>8112</v>
      </c>
      <c r="I8" s="80">
        <f>'Magazine Costs'!H7</f>
        <v>9445.8320622607225</v>
      </c>
      <c r="J8" s="80">
        <f t="shared" si="1"/>
        <v>163314.69696030137</v>
      </c>
      <c r="K8" s="14">
        <f t="shared" ref="K8:K21" si="2">F8-J8</f>
        <v>6689.121849341318</v>
      </c>
    </row>
    <row r="9" spans="1:14" x14ac:dyDescent="0.3">
      <c r="A9" s="81" t="s">
        <v>52</v>
      </c>
      <c r="B9" s="43"/>
      <c r="C9" s="92">
        <f>'Buying pool summary'!K9</f>
        <v>37325.354134871399</v>
      </c>
      <c r="D9" s="93">
        <f>'Partner shares'!B8</f>
        <v>8387.4699999999993</v>
      </c>
      <c r="E9" s="93">
        <f>'Magazine Costs'!G8</f>
        <v>1856.0264574746705</v>
      </c>
      <c r="F9" s="93">
        <f t="shared" si="0"/>
        <v>47568.850592346069</v>
      </c>
      <c r="G9" s="79">
        <f>'Buying pool summary'!L9</f>
        <v>34276.366723031395</v>
      </c>
      <c r="H9" s="80">
        <f>'Partner shares'!C8</f>
        <v>8112</v>
      </c>
      <c r="I9" s="80">
        <f>'Magazine Costs'!H8</f>
        <v>2225.108589139531</v>
      </c>
      <c r="J9" s="80">
        <f t="shared" si="1"/>
        <v>44613.475312170929</v>
      </c>
      <c r="K9" s="14">
        <f t="shared" si="2"/>
        <v>2955.3752801751398</v>
      </c>
    </row>
    <row r="10" spans="1:14" x14ac:dyDescent="0.3">
      <c r="A10" s="81" t="s">
        <v>54</v>
      </c>
      <c r="B10" s="43"/>
      <c r="C10" s="92">
        <f>'Buying pool summary'!K10</f>
        <v>24481.151564490909</v>
      </c>
      <c r="D10" s="93">
        <f>'Partner shares'!B9</f>
        <v>8387.4699999999993</v>
      </c>
      <c r="E10" s="93">
        <f>'Magazine Costs'!G9</f>
        <v>1233.1746079088641</v>
      </c>
      <c r="F10" s="93">
        <f t="shared" si="0"/>
        <v>34101.796172399772</v>
      </c>
      <c r="G10" s="79">
        <f>'Buying pool summary'!L10</f>
        <v>23143.515680820721</v>
      </c>
      <c r="H10" s="80">
        <f>'Partner shares'!C9</f>
        <v>8112</v>
      </c>
      <c r="I10" s="80">
        <f>'Magazine Costs'!H9</f>
        <v>1531.3434011739205</v>
      </c>
      <c r="J10" s="80">
        <f t="shared" si="1"/>
        <v>32786.85908199464</v>
      </c>
      <c r="K10" s="14">
        <f t="shared" si="2"/>
        <v>1314.937090405132</v>
      </c>
    </row>
    <row r="11" spans="1:14" x14ac:dyDescent="0.3">
      <c r="A11" s="81" t="s">
        <v>55</v>
      </c>
      <c r="B11" s="43"/>
      <c r="C11" s="92">
        <f>'Buying pool summary'!K11</f>
        <v>180286.36937317927</v>
      </c>
      <c r="D11" s="93">
        <f>'Partner shares'!B10</f>
        <v>8387.4699999999993</v>
      </c>
      <c r="E11" s="93">
        <f>'Magazine Costs'!G10</f>
        <v>8829.3847105304412</v>
      </c>
      <c r="F11" s="93">
        <f t="shared" si="0"/>
        <v>197503.22408370971</v>
      </c>
      <c r="G11" s="79">
        <f>'Buying pool summary'!L11</f>
        <v>172740.8995531254</v>
      </c>
      <c r="H11" s="80">
        <f>'Partner shares'!C10</f>
        <v>8112</v>
      </c>
      <c r="I11" s="80">
        <f>'Magazine Costs'!H10</f>
        <v>11199.171459909798</v>
      </c>
      <c r="J11" s="80">
        <f t="shared" si="1"/>
        <v>192052.07101303519</v>
      </c>
      <c r="K11" s="14">
        <f t="shared" si="2"/>
        <v>5451.1530706745107</v>
      </c>
    </row>
    <row r="12" spans="1:14" x14ac:dyDescent="0.3">
      <c r="A12" s="43" t="s">
        <v>56</v>
      </c>
      <c r="B12" s="43"/>
      <c r="C12" s="92">
        <f>'Buying pool summary'!K12</f>
        <v>117131.70269625357</v>
      </c>
      <c r="D12" s="93">
        <f>'Partner shares'!B11</f>
        <v>8387.4699999999993</v>
      </c>
      <c r="E12" s="93">
        <f>'Magazine Costs'!G11</f>
        <v>5846.2846278516981</v>
      </c>
      <c r="F12" s="93">
        <f t="shared" si="0"/>
        <v>131365.45732410529</v>
      </c>
      <c r="G12" s="79">
        <f>'Buying pool summary'!L12</f>
        <v>112252.55313883907</v>
      </c>
      <c r="H12" s="80">
        <f>'Partner shares'!C11</f>
        <v>8112</v>
      </c>
      <c r="I12" s="80">
        <f>'Magazine Costs'!H11</f>
        <v>7337.930763893688</v>
      </c>
      <c r="J12" s="80">
        <f t="shared" si="1"/>
        <v>127702.48390273275</v>
      </c>
      <c r="K12" s="14">
        <f t="shared" si="2"/>
        <v>3662.9734213725314</v>
      </c>
    </row>
    <row r="13" spans="1:14" x14ac:dyDescent="0.3">
      <c r="A13" s="81" t="s">
        <v>72</v>
      </c>
      <c r="B13" s="43" t="e">
        <f>SUM(#REF!)</f>
        <v>#REF!</v>
      </c>
      <c r="C13" s="92">
        <f>'Buying pool summary'!K13</f>
        <v>111853.17029905257</v>
      </c>
      <c r="D13" s="93">
        <f>'Partner shares'!B12</f>
        <v>8387.4699999999993</v>
      </c>
      <c r="E13" s="93">
        <f>'Magazine Costs'!G12</f>
        <v>5458.5653628999871</v>
      </c>
      <c r="F13" s="93">
        <f t="shared" si="0"/>
        <v>125699.20566195255</v>
      </c>
      <c r="G13" s="79">
        <f>'Buying pool summary'!L13</f>
        <v>108554.01189135559</v>
      </c>
      <c r="H13" s="80">
        <f>'Partner shares'!C12</f>
        <v>8112</v>
      </c>
      <c r="I13" s="80">
        <f>'Magazine Costs'!H12</f>
        <v>6916.7659680146289</v>
      </c>
      <c r="J13" s="80">
        <f t="shared" si="1"/>
        <v>123582.77785937022</v>
      </c>
      <c r="K13" s="14">
        <f t="shared" si="2"/>
        <v>2116.4278025823296</v>
      </c>
    </row>
    <row r="14" spans="1:14" x14ac:dyDescent="0.3">
      <c r="A14" s="81" t="s">
        <v>58</v>
      </c>
      <c r="B14" s="43"/>
      <c r="C14" s="92">
        <f>'Buying pool summary'!K14</f>
        <v>52317.66415318496</v>
      </c>
      <c r="D14" s="93">
        <f>'Partner shares'!B13</f>
        <v>8387.4699999999993</v>
      </c>
      <c r="E14" s="93">
        <f>'Magazine Costs'!G13</f>
        <v>2609.6828681403617</v>
      </c>
      <c r="F14" s="93">
        <f t="shared" si="0"/>
        <v>63314.817021325325</v>
      </c>
      <c r="G14" s="79">
        <f>'Buying pool summary'!L14</f>
        <v>49720.228486707048</v>
      </c>
      <c r="H14" s="80">
        <f>'Partner shares'!C13</f>
        <v>8112</v>
      </c>
      <c r="I14" s="80">
        <f>'Magazine Costs'!H13</f>
        <v>3257.4038291350698</v>
      </c>
      <c r="J14" s="80">
        <f t="shared" si="1"/>
        <v>61089.632315842115</v>
      </c>
      <c r="K14" s="14">
        <f t="shared" si="2"/>
        <v>2225.1847054832106</v>
      </c>
    </row>
    <row r="15" spans="1:14" x14ac:dyDescent="0.3">
      <c r="A15" s="81" t="s">
        <v>71</v>
      </c>
      <c r="B15" s="43"/>
      <c r="C15" s="92">
        <f>'Buying pool summary'!K15</f>
        <v>63712.131863268522</v>
      </c>
      <c r="D15" s="93">
        <f>'Partner shares'!B14</f>
        <v>8387.4699999999993</v>
      </c>
      <c r="E15" s="93">
        <f>'Magazine Costs'!G14</f>
        <v>3295.5426355945706</v>
      </c>
      <c r="F15" s="93">
        <f t="shared" si="0"/>
        <v>75395.144498863083</v>
      </c>
      <c r="G15" s="79">
        <f>'Buying pool summary'!L15</f>
        <v>59543.442956067061</v>
      </c>
      <c r="H15" s="80">
        <f>'Partner shares'!C14</f>
        <v>8112</v>
      </c>
      <c r="I15" s="80">
        <f>'Magazine Costs'!H14</f>
        <v>4049.7765505455018</v>
      </c>
      <c r="J15" s="80">
        <f t="shared" si="1"/>
        <v>71705.219506612571</v>
      </c>
      <c r="K15" s="14">
        <f t="shared" si="2"/>
        <v>3689.9249922505114</v>
      </c>
    </row>
    <row r="16" spans="1:14" x14ac:dyDescent="0.3">
      <c r="A16" s="81" t="s">
        <v>109</v>
      </c>
      <c r="B16" s="43"/>
      <c r="C16" s="92">
        <f>'Buying pool summary'!K16</f>
        <v>93095.136041142337</v>
      </c>
      <c r="D16" s="93">
        <f>'Partner shares'!B15</f>
        <v>8387.4699999999993</v>
      </c>
      <c r="E16" s="93">
        <f>'Magazine Costs'!G15</f>
        <v>4666.0457274806158</v>
      </c>
      <c r="F16" s="93">
        <f t="shared" si="0"/>
        <v>106148.65176862295</v>
      </c>
      <c r="G16" s="107">
        <f>'Buying pool summary'!L16</f>
        <v>90251.103625953285</v>
      </c>
      <c r="H16" s="108">
        <f>'Partner shares'!C15</f>
        <v>8112</v>
      </c>
      <c r="I16" s="108">
        <f>'Magazine Costs'!H15</f>
        <v>5947.7578717969172</v>
      </c>
      <c r="J16" s="80">
        <f t="shared" ref="J16" si="3">SUM(G16:I16)</f>
        <v>104310.8614977502</v>
      </c>
      <c r="K16" s="14">
        <f t="shared" si="2"/>
        <v>1837.7902708727488</v>
      </c>
      <c r="L16" s="110"/>
    </row>
    <row r="17" spans="1:11" x14ac:dyDescent="0.3">
      <c r="A17" s="81" t="s">
        <v>60</v>
      </c>
      <c r="B17" s="43"/>
      <c r="C17" s="92">
        <f>'Buying pool summary'!K17</f>
        <v>351737.30929419579</v>
      </c>
      <c r="D17" s="93">
        <f>'Partner shares'!B16</f>
        <v>8387.4699999999993</v>
      </c>
      <c r="E17" s="93">
        <f>'Magazine Costs'!G16</f>
        <v>17302.76222409953</v>
      </c>
      <c r="F17" s="93">
        <f t="shared" si="0"/>
        <v>377427.5415182953</v>
      </c>
      <c r="G17" s="79">
        <f>'Buying pool summary'!L17</f>
        <v>334269.70436181268</v>
      </c>
      <c r="H17" s="80">
        <f>'Partner shares'!C16</f>
        <v>8112</v>
      </c>
      <c r="I17" s="80">
        <f>'Magazine Costs'!H16</f>
        <v>21496.635213646852</v>
      </c>
      <c r="J17" s="80">
        <f t="shared" si="1"/>
        <v>363878.33957545954</v>
      </c>
      <c r="K17" s="14">
        <f t="shared" si="2"/>
        <v>13549.20194283576</v>
      </c>
    </row>
    <row r="18" spans="1:11" x14ac:dyDescent="0.3">
      <c r="A18" s="81" t="s">
        <v>61</v>
      </c>
      <c r="B18" s="43"/>
      <c r="C18" s="92">
        <f>'Buying pool summary'!K18</f>
        <v>32957.530059289391</v>
      </c>
      <c r="D18" s="93">
        <f>'Partner shares'!B17</f>
        <v>8387.4699999999993</v>
      </c>
      <c r="E18" s="93">
        <f>'Magazine Costs'!G17</f>
        <v>1653.3922606149538</v>
      </c>
      <c r="F18" s="93">
        <f t="shared" si="0"/>
        <v>42998.392319904349</v>
      </c>
      <c r="G18" s="79">
        <f>'Buying pool summary'!L18</f>
        <v>31353.589145778758</v>
      </c>
      <c r="H18" s="80">
        <f>'Partner shares'!C17</f>
        <v>8112</v>
      </c>
      <c r="I18" s="80">
        <f>'Magazine Costs'!H17</f>
        <v>2069.3952992212194</v>
      </c>
      <c r="J18" s="80">
        <f t="shared" si="1"/>
        <v>41534.98444499998</v>
      </c>
      <c r="K18" s="14">
        <f t="shared" si="2"/>
        <v>1463.4078749043692</v>
      </c>
    </row>
    <row r="19" spans="1:11" x14ac:dyDescent="0.3">
      <c r="A19" s="81" t="s">
        <v>62</v>
      </c>
      <c r="B19" s="43"/>
      <c r="C19" s="92">
        <f>'Buying pool summary'!K19</f>
        <v>80405.656691063283</v>
      </c>
      <c r="D19" s="93">
        <f>'Partner shares'!B18</f>
        <v>8387.4699999999993</v>
      </c>
      <c r="E19" s="93">
        <f>'Magazine Costs'!G18</f>
        <v>4050.9705942148435</v>
      </c>
      <c r="F19" s="93">
        <f t="shared" si="0"/>
        <v>92844.097285278127</v>
      </c>
      <c r="G19" s="79">
        <f>'Buying pool summary'!L19</f>
        <v>78240.30386691507</v>
      </c>
      <c r="H19" s="80">
        <f>'Partner shares'!C18</f>
        <v>8112</v>
      </c>
      <c r="I19" s="80">
        <f>'Magazine Costs'!H18</f>
        <v>5160.0474599130412</v>
      </c>
      <c r="J19" s="80">
        <f t="shared" si="1"/>
        <v>91512.351326828109</v>
      </c>
      <c r="K19" s="14">
        <f t="shared" si="2"/>
        <v>1331.7459584500175</v>
      </c>
    </row>
    <row r="20" spans="1:11" x14ac:dyDescent="0.3">
      <c r="A20" s="81" t="s">
        <v>63</v>
      </c>
      <c r="B20" s="43"/>
      <c r="C20" s="92">
        <f>'Buying pool summary'!K20</f>
        <v>83930.345418695942</v>
      </c>
      <c r="D20" s="93">
        <f>'Partner shares'!B19</f>
        <v>8387.4699999999993</v>
      </c>
      <c r="E20" s="93">
        <f>'Magazine Costs'!G19</f>
        <v>4033.0764237092421</v>
      </c>
      <c r="F20" s="93">
        <f t="shared" si="0"/>
        <v>96350.891842405181</v>
      </c>
      <c r="G20" s="79">
        <f>'Buying pool summary'!L20</f>
        <v>78460.525781572345</v>
      </c>
      <c r="H20" s="80">
        <f>'Partner shares'!C19</f>
        <v>8112</v>
      </c>
      <c r="I20" s="80">
        <f>'Magazine Costs'!H19</f>
        <v>4962.2630757914631</v>
      </c>
      <c r="J20" s="80">
        <f t="shared" si="1"/>
        <v>91534.788857363805</v>
      </c>
      <c r="K20" s="14">
        <f t="shared" si="2"/>
        <v>4816.1029850413761</v>
      </c>
    </row>
    <row r="21" spans="1:11" x14ac:dyDescent="0.3">
      <c r="A21" s="82" t="s">
        <v>70</v>
      </c>
      <c r="B21" s="42" t="e">
        <f>SUM(#REF!)</f>
        <v>#REF!</v>
      </c>
      <c r="C21" s="92">
        <f>'Buying pool summary'!K21</f>
        <v>77101.772117126093</v>
      </c>
      <c r="D21" s="93">
        <f>'Partner shares'!B20</f>
        <v>8387.4699999999993</v>
      </c>
      <c r="E21" s="93">
        <f>'Magazine Costs'!G20</f>
        <v>3875.6849306953118</v>
      </c>
      <c r="F21" s="93">
        <f t="shared" si="0"/>
        <v>89364.927047821402</v>
      </c>
      <c r="G21" s="79">
        <f>'Buying pool summary'!L21</f>
        <v>73397.213125755326</v>
      </c>
      <c r="H21" s="80">
        <f>'Partner shares'!C20</f>
        <v>8112</v>
      </c>
      <c r="I21" s="80">
        <f>'Magazine Costs'!H20</f>
        <v>4844.4577249070617</v>
      </c>
      <c r="J21" s="80">
        <f t="shared" si="1"/>
        <v>86353.670850662384</v>
      </c>
      <c r="K21" s="14">
        <f t="shared" si="2"/>
        <v>3011.2561971590185</v>
      </c>
    </row>
    <row r="22" spans="1:11" x14ac:dyDescent="0.3">
      <c r="C22" s="14">
        <f t="shared" ref="C22:J22" si="4">SUM(C7:C21)</f>
        <v>1618165.0000000002</v>
      </c>
      <c r="D22" s="14">
        <f t="shared" si="4"/>
        <v>125812.05</v>
      </c>
      <c r="E22" s="14">
        <f t="shared" si="4"/>
        <v>79999.999999999985</v>
      </c>
      <c r="F22" s="14">
        <f t="shared" si="4"/>
        <v>1823977.05</v>
      </c>
      <c r="G22" s="14">
        <f>SUM(G7:G21)</f>
        <v>1541110</v>
      </c>
      <c r="H22" s="14">
        <f t="shared" si="4"/>
        <v>121680</v>
      </c>
      <c r="I22" s="14">
        <f t="shared" si="4"/>
        <v>99999.999999999971</v>
      </c>
      <c r="J22" s="14">
        <f t="shared" si="4"/>
        <v>1762789.9999999998</v>
      </c>
      <c r="K22" s="14"/>
    </row>
  </sheetData>
  <mergeCells count="2">
    <mergeCell ref="A1:A2"/>
    <mergeCell ref="A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21"/>
  <sheetViews>
    <sheetView workbookViewId="0">
      <selection activeCell="E16" sqref="E16"/>
    </sheetView>
  </sheetViews>
  <sheetFormatPr defaultRowHeight="14.4" x14ac:dyDescent="0.3"/>
  <cols>
    <col min="2" max="5" width="16.109375" customWidth="1"/>
  </cols>
  <sheetData>
    <row r="1" spans="2:5" x14ac:dyDescent="0.3">
      <c r="B1" s="71"/>
      <c r="C1" s="71"/>
      <c r="D1" s="71"/>
    </row>
    <row r="2" spans="2:5" x14ac:dyDescent="0.3">
      <c r="B2" s="71"/>
      <c r="C2" s="71"/>
      <c r="D2" s="71"/>
    </row>
    <row r="3" spans="2:5" x14ac:dyDescent="0.3">
      <c r="B3" s="133" t="s">
        <v>129</v>
      </c>
      <c r="C3" s="78"/>
      <c r="D3" s="127"/>
      <c r="E3" s="10"/>
    </row>
    <row r="4" spans="2:5" x14ac:dyDescent="0.3">
      <c r="B4" s="134" t="s">
        <v>93</v>
      </c>
      <c r="C4" s="134" t="s">
        <v>94</v>
      </c>
      <c r="D4" s="134"/>
      <c r="E4" s="98"/>
    </row>
    <row r="5" spans="2:5" x14ac:dyDescent="0.3">
      <c r="B5" s="124" t="s">
        <v>95</v>
      </c>
      <c r="C5" s="135">
        <v>115</v>
      </c>
      <c r="D5" s="135"/>
      <c r="E5" s="99"/>
    </row>
    <row r="6" spans="2:5" x14ac:dyDescent="0.3">
      <c r="B6" s="124"/>
      <c r="C6" s="135"/>
      <c r="D6" s="135"/>
      <c r="E6" s="99"/>
    </row>
    <row r="7" spans="2:5" ht="70.2" customHeight="1" x14ac:dyDescent="0.3">
      <c r="B7" s="150" t="s">
        <v>111</v>
      </c>
      <c r="C7" s="150"/>
      <c r="D7" s="150"/>
    </row>
    <row r="8" spans="2:5" x14ac:dyDescent="0.3">
      <c r="B8" s="71"/>
      <c r="C8" s="71"/>
      <c r="D8" s="71"/>
    </row>
    <row r="9" spans="2:5" x14ac:dyDescent="0.3">
      <c r="B9" s="149" t="s">
        <v>130</v>
      </c>
      <c r="C9" s="149"/>
      <c r="D9" s="149"/>
    </row>
    <row r="10" spans="2:5" x14ac:dyDescent="0.3">
      <c r="B10" s="71" t="s">
        <v>103</v>
      </c>
      <c r="C10" s="118">
        <v>1000</v>
      </c>
      <c r="D10" s="136"/>
      <c r="E10" s="100"/>
    </row>
    <row r="11" spans="2:5" x14ac:dyDescent="0.3">
      <c r="B11" s="71" t="s">
        <v>96</v>
      </c>
      <c r="C11" s="137">
        <v>82640.25</v>
      </c>
      <c r="D11" s="138"/>
      <c r="E11" s="58"/>
    </row>
    <row r="12" spans="2:5" x14ac:dyDescent="0.3">
      <c r="B12" s="71" t="s">
        <v>97</v>
      </c>
      <c r="C12" s="138">
        <f>C11/C10</f>
        <v>82.640249999999995</v>
      </c>
      <c r="D12" s="138"/>
      <c r="E12" s="58"/>
    </row>
    <row r="13" spans="2:5" x14ac:dyDescent="0.3">
      <c r="B13" s="71"/>
      <c r="C13" s="71"/>
      <c r="D13" s="71"/>
    </row>
    <row r="14" spans="2:5" x14ac:dyDescent="0.3">
      <c r="B14" s="71"/>
      <c r="C14" s="71"/>
      <c r="D14" s="71"/>
    </row>
    <row r="15" spans="2:5" x14ac:dyDescent="0.3">
      <c r="B15" s="78" t="s">
        <v>131</v>
      </c>
      <c r="C15" s="139"/>
      <c r="D15" s="139"/>
    </row>
    <row r="16" spans="2:5" x14ac:dyDescent="0.3">
      <c r="B16" s="71" t="s">
        <v>98</v>
      </c>
      <c r="C16" s="136">
        <v>0.05</v>
      </c>
      <c r="D16" s="136"/>
    </row>
    <row r="17" spans="2:4" x14ac:dyDescent="0.3">
      <c r="B17" s="71" t="s">
        <v>96</v>
      </c>
      <c r="C17" s="126">
        <f>(C11*C16)+C11</f>
        <v>86772.262499999997</v>
      </c>
      <c r="D17" s="138"/>
    </row>
    <row r="18" spans="2:4" x14ac:dyDescent="0.3">
      <c r="B18" s="71" t="s">
        <v>97</v>
      </c>
      <c r="C18" s="138">
        <f>C17/C10</f>
        <v>86.772262499999997</v>
      </c>
      <c r="D18" s="138"/>
    </row>
    <row r="19" spans="2:4" x14ac:dyDescent="0.3">
      <c r="B19" s="71"/>
      <c r="C19" s="71"/>
      <c r="D19" s="71"/>
    </row>
    <row r="20" spans="2:4" x14ac:dyDescent="0.3">
      <c r="B20" s="71"/>
      <c r="C20" s="71"/>
      <c r="D20" s="71"/>
    </row>
    <row r="21" spans="2:4" x14ac:dyDescent="0.3">
      <c r="B21" s="71"/>
      <c r="C21" s="71"/>
      <c r="D21" s="71"/>
    </row>
  </sheetData>
  <mergeCells count="2">
    <mergeCell ref="B9:D9"/>
    <mergeCell ref="B7: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2026 budget</vt:lpstr>
      <vt:lpstr>21-22 comparison and totals</vt:lpstr>
      <vt:lpstr>Partner shares</vt:lpstr>
      <vt:lpstr>Buying pool summary</vt:lpstr>
      <vt:lpstr>Magazine Costs</vt:lpstr>
      <vt:lpstr>25-26 comparisons and totals</vt:lpstr>
      <vt:lpstr>Project Management</vt:lpstr>
      <vt:lpstr>'21-22 comparison and totals'!Print_Area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smorrill</dc:creator>
  <cp:lastModifiedBy>Melody Clark</cp:lastModifiedBy>
  <cp:lastPrinted>2022-03-30T19:37:34Z</cp:lastPrinted>
  <dcterms:created xsi:type="dcterms:W3CDTF">2007-05-31T16:25:10Z</dcterms:created>
  <dcterms:modified xsi:type="dcterms:W3CDTF">2025-03-17T19:48:03Z</dcterms:modified>
</cp:coreProperties>
</file>